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ooe.lwk.at\dfs\persoenlich\kriesim\Downloads\"/>
    </mc:Choice>
  </mc:AlternateContent>
  <xr:revisionPtr revIDLastSave="0" documentId="13_ncr:1_{41455A67-CFD4-4BC4-AB21-0405533DB8F2}" xr6:coauthVersionLast="47" xr6:coauthVersionMax="47" xr10:uidLastSave="{00000000-0000-0000-0000-000000000000}"/>
  <bookViews>
    <workbookView xWindow="1080" yWindow="-120" windowWidth="24240" windowHeight="15990" tabRatio="708" xr2:uid="{00000000-000D-0000-FFFF-FFFF00000000}"/>
  </bookViews>
  <sheets>
    <sheet name="Anleitung" sheetId="20" r:id="rId1"/>
    <sheet name="Tabelle1" sheetId="29" state="hidden" r:id="rId2"/>
    <sheet name="Mischungen" sheetId="35" state="hidden" r:id="rId3"/>
    <sheet name="Inverttabelle (2)" sheetId="39" state="hidden" r:id="rId4"/>
    <sheet name="Komp.Misch." sheetId="37" state="hidden" r:id="rId5"/>
    <sheet name="Begr.-Rechner int. Prod." sheetId="2" r:id="rId6"/>
    <sheet name="Zusammenfassung int. Prod." sheetId="15" r:id="rId7"/>
    <sheet name="Konventionell (2)" sheetId="10" state="hidden" r:id="rId8"/>
    <sheet name="Mischungen verfeinern" sheetId="34" r:id="rId9"/>
    <sheet name="Begr.-Rechner BIO" sheetId="3" r:id="rId10"/>
    <sheet name="BIO (2)" sheetId="18" state="hidden" r:id="rId11"/>
    <sheet name="Zusammenfassung BIO" sheetId="17" r:id="rId12"/>
    <sheet name="Begrünungsliste 2025" sheetId="28" r:id="rId13"/>
    <sheet name="Anbauzeitpunkte" sheetId="6" r:id="rId14"/>
  </sheets>
  <definedNames>
    <definedName name="_xlnm.Print_Area" localSheetId="13">Anbauzeitpunkte!$A$1:$G$40</definedName>
    <definedName name="_xlnm.Print_Area" localSheetId="5">'Begr.-Rechner int. Prod.'!$A$1:$H$66</definedName>
    <definedName name="_xlnm.Print_Area" localSheetId="7">'Konventionell (2)'!$A$1:$H$65</definedName>
    <definedName name="_xlnm.Print_Area" localSheetId="8">'Mischungen verfeinern'!$A$1:$H$18</definedName>
    <definedName name="_xlnm.Print_Area" localSheetId="11">'Zusammenfassung BIO'!$A$1:$I$39</definedName>
    <definedName name="_xlnm.Print_Area" localSheetId="6">'Zusammenfassung int. Prod.'!$A$1:$I$39</definedName>
    <definedName name="Einzelkulturen" localSheetId="7">'Konventionell (2)'!$A$3:$H$65</definedName>
    <definedName name="Einzelkulturen">'Begr.-Rechner int. Prod.'!$A$4:$H$66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 i="37" l="1"/>
  <c r="B8" i="37"/>
  <c r="B9" i="37"/>
  <c r="B10" i="37"/>
  <c r="B11" i="37"/>
  <c r="B12" i="37"/>
  <c r="B13" i="37"/>
  <c r="B14" i="37"/>
  <c r="B15" i="37"/>
  <c r="B16" i="37"/>
  <c r="B17" i="37"/>
  <c r="B18" i="37"/>
  <c r="B19" i="37"/>
  <c r="B20" i="37"/>
  <c r="B21" i="37"/>
  <c r="B22" i="37"/>
  <c r="B23" i="37"/>
  <c r="B24" i="37"/>
  <c r="B25" i="37"/>
  <c r="B26" i="37"/>
  <c r="B27" i="37"/>
  <c r="B28" i="37"/>
  <c r="B29" i="37"/>
  <c r="B30" i="37"/>
  <c r="B31" i="37"/>
  <c r="B32" i="37"/>
  <c r="B33" i="37"/>
  <c r="B34" i="37"/>
  <c r="B35" i="37"/>
  <c r="B36" i="37"/>
  <c r="B37" i="37"/>
  <c r="B38" i="37"/>
  <c r="B39" i="37"/>
  <c r="B40" i="37"/>
  <c r="B41" i="37"/>
  <c r="B42" i="37"/>
  <c r="B43" i="37"/>
  <c r="B44" i="37"/>
  <c r="B45" i="37"/>
  <c r="B46" i="37"/>
  <c r="B47" i="37"/>
  <c r="B48" i="37"/>
  <c r="B49" i="37"/>
  <c r="B50" i="37"/>
  <c r="B51" i="37"/>
  <c r="B52" i="37"/>
  <c r="B53" i="37"/>
  <c r="B54" i="37"/>
  <c r="B55" i="37"/>
  <c r="B56" i="37"/>
  <c r="B7" i="37"/>
  <c r="B3" i="37"/>
  <c r="B4" i="37"/>
  <c r="B5" i="37"/>
  <c r="B6" i="37"/>
  <c r="B2" i="37"/>
  <c r="A8" i="37"/>
  <c r="A9" i="37"/>
  <c r="A10" i="37"/>
  <c r="A11" i="37"/>
  <c r="A12" i="37"/>
  <c r="A13" i="37"/>
  <c r="A14" i="37"/>
  <c r="A15" i="37"/>
  <c r="A16" i="37"/>
  <c r="A17" i="37"/>
  <c r="A18" i="37"/>
  <c r="A19" i="37"/>
  <c r="A20" i="37"/>
  <c r="A21" i="37"/>
  <c r="A23" i="37"/>
  <c r="A24" i="37"/>
  <c r="A25" i="37"/>
  <c r="A26" i="37"/>
  <c r="A27" i="37"/>
  <c r="A28" i="37"/>
  <c r="A29" i="37"/>
  <c r="A30" i="37"/>
  <c r="A31" i="37"/>
  <c r="A32" i="37"/>
  <c r="A33" i="37"/>
  <c r="A34" i="37"/>
  <c r="A35" i="37"/>
  <c r="A36" i="37"/>
  <c r="A37" i="37"/>
  <c r="A38" i="37"/>
  <c r="A39" i="37"/>
  <c r="A40" i="37"/>
  <c r="A41" i="37"/>
  <c r="A42" i="37"/>
  <c r="A43" i="37"/>
  <c r="A44" i="37"/>
  <c r="A45" i="37"/>
  <c r="A46" i="37"/>
  <c r="A47" i="37"/>
  <c r="A48" i="37"/>
  <c r="A49" i="37"/>
  <c r="A50" i="37"/>
  <c r="A51" i="37"/>
  <c r="A52" i="37"/>
  <c r="A53" i="37"/>
  <c r="A54" i="37"/>
  <c r="A55" i="37"/>
  <c r="A56" i="37"/>
  <c r="A3" i="37"/>
  <c r="A4" i="37"/>
  <c r="A5" i="37"/>
  <c r="A6" i="37"/>
  <c r="A2" i="37"/>
  <c r="V5" i="34"/>
  <c r="V6" i="34"/>
  <c r="V7" i="34"/>
  <c r="V8" i="34"/>
  <c r="V9" i="34"/>
  <c r="V10" i="34"/>
  <c r="V11" i="34"/>
  <c r="V12" i="34"/>
  <c r="V13" i="34"/>
  <c r="V14" i="34"/>
  <c r="V15" i="34"/>
  <c r="V16" i="34"/>
  <c r="V17" i="34"/>
  <c r="V18" i="34"/>
  <c r="V19" i="34"/>
  <c r="V20" i="34"/>
  <c r="V21" i="34"/>
  <c r="V22" i="34"/>
  <c r="V23" i="34"/>
  <c r="V24" i="34"/>
  <c r="V25" i="34"/>
  <c r="V26" i="34"/>
  <c r="V4" i="34"/>
  <c r="H11" i="34"/>
  <c r="H12" i="34"/>
  <c r="H13" i="34"/>
  <c r="H14" i="34"/>
  <c r="H15" i="34"/>
  <c r="H16" i="34"/>
  <c r="H17" i="34"/>
  <c r="H18" i="34"/>
  <c r="E15" i="34"/>
  <c r="D11" i="34"/>
  <c r="C3" i="34"/>
  <c r="D15" i="34"/>
  <c r="D16" i="34"/>
  <c r="D17" i="34"/>
  <c r="D18" i="34"/>
  <c r="E16" i="34"/>
  <c r="E17" i="34"/>
  <c r="E18" i="34"/>
  <c r="D12" i="34"/>
  <c r="D13" i="34"/>
  <c r="D14" i="34"/>
  <c r="D10" i="34"/>
  <c r="C6" i="34"/>
  <c r="C2" i="34" s="1"/>
  <c r="F6" i="34"/>
  <c r="D6" i="34"/>
  <c r="C11" i="34"/>
  <c r="E11" i="34" s="1"/>
  <c r="C12" i="34"/>
  <c r="E12" i="34" s="1"/>
  <c r="C13" i="34"/>
  <c r="E13" i="34" s="1"/>
  <c r="C14" i="34"/>
  <c r="E14" i="34" s="1"/>
  <c r="C10" i="34"/>
  <c r="E10" i="34" s="1"/>
  <c r="G17" i="34"/>
  <c r="G16" i="34"/>
  <c r="G15" i="34"/>
  <c r="G14" i="34"/>
  <c r="G13" i="34"/>
  <c r="G12" i="34"/>
  <c r="G11" i="34"/>
  <c r="G10" i="34"/>
  <c r="H10" i="34" s="1"/>
  <c r="G18" i="34"/>
  <c r="V27" i="34"/>
  <c r="X24" i="34"/>
  <c r="Z24" i="34" s="1"/>
  <c r="X23" i="34"/>
  <c r="Z23" i="34" s="1"/>
  <c r="X22" i="34"/>
  <c r="Z22" i="34" s="1"/>
  <c r="X21" i="34"/>
  <c r="Z21" i="34" s="1"/>
  <c r="X20" i="34"/>
  <c r="Z20" i="34" s="1"/>
  <c r="X19" i="34"/>
  <c r="Z19" i="34" s="1"/>
  <c r="X18" i="34"/>
  <c r="Z18" i="34" s="1"/>
  <c r="X17" i="34"/>
  <c r="Z17" i="34" s="1"/>
  <c r="X16" i="34"/>
  <c r="Z16" i="34" s="1"/>
  <c r="X15" i="34"/>
  <c r="Z15" i="34" s="1"/>
  <c r="X14" i="34"/>
  <c r="Z14" i="34" s="1"/>
  <c r="X13" i="34"/>
  <c r="Z13" i="34" s="1"/>
  <c r="X12" i="34"/>
  <c r="Z12" i="34" s="1"/>
  <c r="X11" i="34"/>
  <c r="Z11" i="34" s="1"/>
  <c r="X10" i="34"/>
  <c r="Z10" i="34" s="1"/>
  <c r="X9" i="34"/>
  <c r="Z9" i="34" s="1"/>
  <c r="X8" i="34"/>
  <c r="Z8" i="34" s="1"/>
  <c r="X7" i="34"/>
  <c r="Z7" i="34" s="1"/>
  <c r="X6" i="34"/>
  <c r="Z6" i="34" s="1"/>
  <c r="X5" i="34"/>
  <c r="Z5" i="34" s="1"/>
  <c r="X4" i="34"/>
  <c r="Z4" i="34" s="1"/>
  <c r="AC4" i="34" s="1"/>
  <c r="V32" i="34"/>
  <c r="V33" i="34"/>
  <c r="V34" i="34"/>
  <c r="V35" i="34"/>
  <c r="V36" i="34"/>
  <c r="V37" i="34"/>
  <c r="V38" i="34"/>
  <c r="V39" i="34"/>
  <c r="V40" i="34"/>
  <c r="V41" i="34"/>
  <c r="V42" i="34"/>
  <c r="V43" i="34"/>
  <c r="V44" i="34"/>
  <c r="V45" i="34"/>
  <c r="V46" i="34"/>
  <c r="V47" i="34"/>
  <c r="V48" i="34"/>
  <c r="V49" i="34"/>
  <c r="D72" i="35"/>
  <c r="E72" i="35"/>
  <c r="F72" i="35"/>
  <c r="G72" i="35"/>
  <c r="H72" i="35"/>
  <c r="I72" i="35"/>
  <c r="J72" i="35"/>
  <c r="K72" i="35"/>
  <c r="L72" i="35"/>
  <c r="M72" i="35"/>
  <c r="N72" i="35"/>
  <c r="O72" i="35"/>
  <c r="P72" i="35"/>
  <c r="Q72" i="35"/>
  <c r="R72" i="35"/>
  <c r="S72" i="35"/>
  <c r="T72" i="35"/>
  <c r="U72" i="35"/>
  <c r="V72" i="35"/>
  <c r="W72" i="35"/>
  <c r="X72" i="35"/>
  <c r="Y72" i="35"/>
  <c r="Z72" i="35"/>
  <c r="AA72" i="35"/>
  <c r="AB72" i="35"/>
  <c r="AC72" i="35"/>
  <c r="AD72" i="35"/>
  <c r="AE72" i="35"/>
  <c r="AF72" i="35"/>
  <c r="AG72" i="35"/>
  <c r="AH72" i="35"/>
  <c r="AI72" i="35"/>
  <c r="AJ72" i="35"/>
  <c r="AK72" i="35"/>
  <c r="AL72" i="35"/>
  <c r="AM72" i="35"/>
  <c r="AN72" i="35"/>
  <c r="AO72" i="35"/>
  <c r="AP72" i="35"/>
  <c r="AQ72" i="35"/>
  <c r="AR72" i="35"/>
  <c r="AS72" i="35"/>
  <c r="AT72" i="35"/>
  <c r="AU72" i="35"/>
  <c r="AV72" i="35"/>
  <c r="AW72" i="35"/>
  <c r="AX72" i="35"/>
  <c r="AY72" i="35"/>
  <c r="AZ72" i="35"/>
  <c r="BA72" i="35"/>
  <c r="BB72" i="35"/>
  <c r="BC72" i="35"/>
  <c r="BD72" i="35"/>
  <c r="BE72" i="35"/>
  <c r="BF72" i="35"/>
  <c r="BG72" i="35"/>
  <c r="BH72" i="35"/>
  <c r="BI72" i="35"/>
  <c r="BJ72" i="35"/>
  <c r="BK72" i="35"/>
  <c r="BL72" i="35"/>
  <c r="BM72" i="35"/>
  <c r="BN72" i="35"/>
  <c r="BO72" i="35"/>
  <c r="BP72" i="35"/>
  <c r="BQ72" i="35"/>
  <c r="BR72" i="35"/>
  <c r="BS72" i="35"/>
  <c r="BT72" i="35"/>
  <c r="D73" i="35"/>
  <c r="E73" i="35"/>
  <c r="F73" i="35"/>
  <c r="G73" i="35"/>
  <c r="H73" i="35"/>
  <c r="I73" i="35"/>
  <c r="J73" i="35"/>
  <c r="K73" i="35"/>
  <c r="L73" i="35"/>
  <c r="M73" i="35"/>
  <c r="N73" i="35"/>
  <c r="O73" i="35"/>
  <c r="P73" i="35"/>
  <c r="Q73" i="35"/>
  <c r="R73" i="35"/>
  <c r="S73" i="35"/>
  <c r="T73" i="35"/>
  <c r="U73" i="35"/>
  <c r="V73" i="35"/>
  <c r="W73" i="35"/>
  <c r="X73" i="35"/>
  <c r="Y73" i="35"/>
  <c r="Z73" i="35"/>
  <c r="AA73" i="35"/>
  <c r="AB73" i="35"/>
  <c r="AC73" i="35"/>
  <c r="AD73" i="35"/>
  <c r="AE73" i="35"/>
  <c r="AF73" i="35"/>
  <c r="AG73" i="35"/>
  <c r="AH73" i="35"/>
  <c r="AI73" i="35"/>
  <c r="AJ73" i="35"/>
  <c r="AK73" i="35"/>
  <c r="AL73" i="35"/>
  <c r="AM73" i="35"/>
  <c r="AN73" i="35"/>
  <c r="AO73" i="35"/>
  <c r="AP73" i="35"/>
  <c r="AQ73" i="35"/>
  <c r="AR73" i="35"/>
  <c r="AS73" i="35"/>
  <c r="AT73" i="35"/>
  <c r="AU73" i="35"/>
  <c r="AV73" i="35"/>
  <c r="AW73" i="35"/>
  <c r="AX73" i="35"/>
  <c r="AY73" i="35"/>
  <c r="AZ73" i="35"/>
  <c r="BA73" i="35"/>
  <c r="BB73" i="35"/>
  <c r="BC73" i="35"/>
  <c r="BD73" i="35"/>
  <c r="BE73" i="35"/>
  <c r="BF73" i="35"/>
  <c r="BG73" i="35"/>
  <c r="BH73" i="35"/>
  <c r="BI73" i="35"/>
  <c r="BJ73" i="35"/>
  <c r="BK73" i="35"/>
  <c r="BL73" i="35"/>
  <c r="BM73" i="35"/>
  <c r="BN73" i="35"/>
  <c r="BO73" i="35"/>
  <c r="BP73" i="35"/>
  <c r="BQ73" i="35"/>
  <c r="BR73" i="35"/>
  <c r="BS73" i="35"/>
  <c r="BT73" i="35"/>
  <c r="D74" i="35"/>
  <c r="E74" i="35"/>
  <c r="F74" i="35"/>
  <c r="G74" i="35"/>
  <c r="H74" i="35"/>
  <c r="I74" i="35"/>
  <c r="J74" i="35"/>
  <c r="K74" i="35"/>
  <c r="L74" i="35"/>
  <c r="M74" i="35"/>
  <c r="N74" i="35"/>
  <c r="O74" i="35"/>
  <c r="P74" i="35"/>
  <c r="Q74" i="35"/>
  <c r="R74" i="35"/>
  <c r="S74" i="35"/>
  <c r="T74" i="35"/>
  <c r="U74" i="35"/>
  <c r="V74" i="35"/>
  <c r="W74" i="35"/>
  <c r="X74" i="35"/>
  <c r="Y74" i="35"/>
  <c r="Z74" i="35"/>
  <c r="AA74" i="35"/>
  <c r="AB74" i="35"/>
  <c r="AC74" i="35"/>
  <c r="AD74" i="35"/>
  <c r="AE74" i="35"/>
  <c r="AF74" i="35"/>
  <c r="AG74" i="35"/>
  <c r="AH74" i="35"/>
  <c r="AI74" i="35"/>
  <c r="AJ74" i="35"/>
  <c r="AK74" i="35"/>
  <c r="AL74" i="35"/>
  <c r="AM74" i="35"/>
  <c r="AN74" i="35"/>
  <c r="AO74" i="35"/>
  <c r="AP74" i="35"/>
  <c r="AQ74" i="35"/>
  <c r="AR74" i="35"/>
  <c r="AS74" i="35"/>
  <c r="AT74" i="35"/>
  <c r="AU74" i="35"/>
  <c r="AV74" i="35"/>
  <c r="AW74" i="35"/>
  <c r="AX74" i="35"/>
  <c r="AY74" i="35"/>
  <c r="AZ74" i="35"/>
  <c r="BA74" i="35"/>
  <c r="BB74" i="35"/>
  <c r="BC74" i="35"/>
  <c r="BD74" i="35"/>
  <c r="BE74" i="35"/>
  <c r="BF74" i="35"/>
  <c r="BG74" i="35"/>
  <c r="BH74" i="35"/>
  <c r="BI74" i="35"/>
  <c r="BJ74" i="35"/>
  <c r="BK74" i="35"/>
  <c r="BL74" i="35"/>
  <c r="BM74" i="35"/>
  <c r="BN74" i="35"/>
  <c r="BO74" i="35"/>
  <c r="BP74" i="35"/>
  <c r="BQ74" i="35"/>
  <c r="BR74" i="35"/>
  <c r="BS74" i="35"/>
  <c r="BT74" i="35"/>
  <c r="D75" i="35"/>
  <c r="E75" i="35"/>
  <c r="F75" i="35"/>
  <c r="G75" i="35"/>
  <c r="H75" i="35"/>
  <c r="I75" i="35"/>
  <c r="J75" i="35"/>
  <c r="K75" i="35"/>
  <c r="L75" i="35"/>
  <c r="M75" i="35"/>
  <c r="N75" i="35"/>
  <c r="O75" i="35"/>
  <c r="P75" i="35"/>
  <c r="Q75" i="35"/>
  <c r="R75" i="35"/>
  <c r="S75" i="35"/>
  <c r="T75" i="35"/>
  <c r="U75" i="35"/>
  <c r="V75" i="35"/>
  <c r="W75" i="35"/>
  <c r="X75" i="35"/>
  <c r="Y75" i="35"/>
  <c r="Z75" i="35"/>
  <c r="AA75" i="35"/>
  <c r="AB75" i="35"/>
  <c r="AC75" i="35"/>
  <c r="AD75" i="35"/>
  <c r="AE75" i="35"/>
  <c r="AF75" i="35"/>
  <c r="AG75" i="35"/>
  <c r="AH75" i="35"/>
  <c r="AI75" i="35"/>
  <c r="AJ75" i="35"/>
  <c r="AK75" i="35"/>
  <c r="AL75" i="35"/>
  <c r="AM75" i="35"/>
  <c r="AN75" i="35"/>
  <c r="AO75" i="35"/>
  <c r="AP75" i="35"/>
  <c r="AQ75" i="35"/>
  <c r="AR75" i="35"/>
  <c r="AS75" i="35"/>
  <c r="AT75" i="35"/>
  <c r="AU75" i="35"/>
  <c r="AV75" i="35"/>
  <c r="AW75" i="35"/>
  <c r="AX75" i="35"/>
  <c r="AY75" i="35"/>
  <c r="AZ75" i="35"/>
  <c r="BA75" i="35"/>
  <c r="BB75" i="35"/>
  <c r="BC75" i="35"/>
  <c r="BD75" i="35"/>
  <c r="BE75" i="35"/>
  <c r="BF75" i="35"/>
  <c r="BG75" i="35"/>
  <c r="BH75" i="35"/>
  <c r="BI75" i="35"/>
  <c r="BJ75" i="35"/>
  <c r="BK75" i="35"/>
  <c r="BL75" i="35"/>
  <c r="BM75" i="35"/>
  <c r="BN75" i="35"/>
  <c r="BO75" i="35"/>
  <c r="BP75" i="35"/>
  <c r="BQ75" i="35"/>
  <c r="BR75" i="35"/>
  <c r="BS75" i="35"/>
  <c r="BT75" i="35"/>
  <c r="D76" i="35"/>
  <c r="E76" i="35"/>
  <c r="F76" i="35"/>
  <c r="G76" i="35"/>
  <c r="H76" i="35"/>
  <c r="I76" i="35"/>
  <c r="J76" i="35"/>
  <c r="K76" i="35"/>
  <c r="L76" i="35"/>
  <c r="M76" i="35"/>
  <c r="N76" i="35"/>
  <c r="O76" i="35"/>
  <c r="P76" i="35"/>
  <c r="Q76" i="35"/>
  <c r="R76" i="35"/>
  <c r="S76" i="35"/>
  <c r="T76" i="35"/>
  <c r="U76" i="35"/>
  <c r="V76" i="35"/>
  <c r="W76" i="35"/>
  <c r="X76" i="35"/>
  <c r="Y76" i="35"/>
  <c r="Z76" i="35"/>
  <c r="AA76" i="35"/>
  <c r="AB76" i="35"/>
  <c r="AC76" i="35"/>
  <c r="AD76" i="35"/>
  <c r="AE76" i="35"/>
  <c r="AF76" i="35"/>
  <c r="AG76" i="35"/>
  <c r="AH76" i="35"/>
  <c r="AI76" i="35"/>
  <c r="AJ76" i="35"/>
  <c r="AK76" i="35"/>
  <c r="AL76" i="35"/>
  <c r="AM76" i="35"/>
  <c r="AN76" i="35"/>
  <c r="AO76" i="35"/>
  <c r="AP76" i="35"/>
  <c r="AQ76" i="35"/>
  <c r="AR76" i="35"/>
  <c r="AS76" i="35"/>
  <c r="AT76" i="35"/>
  <c r="AU76" i="35"/>
  <c r="AV76" i="35"/>
  <c r="AW76" i="35"/>
  <c r="AX76" i="35"/>
  <c r="AY76" i="35"/>
  <c r="AZ76" i="35"/>
  <c r="BA76" i="35"/>
  <c r="BB76" i="35"/>
  <c r="BC76" i="35"/>
  <c r="BD76" i="35"/>
  <c r="BE76" i="35"/>
  <c r="BF76" i="35"/>
  <c r="BG76" i="35"/>
  <c r="BH76" i="35"/>
  <c r="BI76" i="35"/>
  <c r="BJ76" i="35"/>
  <c r="BK76" i="35"/>
  <c r="BL76" i="35"/>
  <c r="BM76" i="35"/>
  <c r="BN76" i="35"/>
  <c r="BO76" i="35"/>
  <c r="BP76" i="35"/>
  <c r="BQ76" i="35"/>
  <c r="BR76" i="35"/>
  <c r="BS76" i="35"/>
  <c r="BT76" i="35"/>
  <c r="D77" i="35"/>
  <c r="E77" i="35"/>
  <c r="F77" i="35"/>
  <c r="G77" i="35"/>
  <c r="H77" i="35"/>
  <c r="I77" i="35"/>
  <c r="J77" i="35"/>
  <c r="K77" i="35"/>
  <c r="L77" i="35"/>
  <c r="M77" i="35"/>
  <c r="N77" i="35"/>
  <c r="O77" i="35"/>
  <c r="P77" i="35"/>
  <c r="Q77" i="35"/>
  <c r="R77" i="35"/>
  <c r="S77" i="35"/>
  <c r="T77" i="35"/>
  <c r="U77" i="35"/>
  <c r="V77" i="35"/>
  <c r="W77" i="35"/>
  <c r="X77" i="35"/>
  <c r="Y77" i="35"/>
  <c r="Z77" i="35"/>
  <c r="AA77" i="35"/>
  <c r="AB77" i="35"/>
  <c r="AC77" i="35"/>
  <c r="AD77" i="35"/>
  <c r="AE77" i="35"/>
  <c r="AF77" i="35"/>
  <c r="AG77" i="35"/>
  <c r="AH77" i="35"/>
  <c r="AI77" i="35"/>
  <c r="AJ77" i="35"/>
  <c r="AK77" i="35"/>
  <c r="AL77" i="35"/>
  <c r="AM77" i="35"/>
  <c r="AN77" i="35"/>
  <c r="AO77" i="35"/>
  <c r="AP77" i="35"/>
  <c r="AQ77" i="35"/>
  <c r="AR77" i="35"/>
  <c r="AS77" i="35"/>
  <c r="AT77" i="35"/>
  <c r="AU77" i="35"/>
  <c r="AV77" i="35"/>
  <c r="AW77" i="35"/>
  <c r="AX77" i="35"/>
  <c r="AY77" i="35"/>
  <c r="AZ77" i="35"/>
  <c r="BA77" i="35"/>
  <c r="BB77" i="35"/>
  <c r="BC77" i="35"/>
  <c r="BD77" i="35"/>
  <c r="BE77" i="35"/>
  <c r="BF77" i="35"/>
  <c r="BG77" i="35"/>
  <c r="BH77" i="35"/>
  <c r="BI77" i="35"/>
  <c r="BJ77" i="35"/>
  <c r="BK77" i="35"/>
  <c r="BL77" i="35"/>
  <c r="BM77" i="35"/>
  <c r="BN77" i="35"/>
  <c r="BO77" i="35"/>
  <c r="BP77" i="35"/>
  <c r="BQ77" i="35"/>
  <c r="BR77" i="35"/>
  <c r="BS77" i="35"/>
  <c r="BT77" i="35"/>
  <c r="D78" i="35"/>
  <c r="E78" i="35"/>
  <c r="F78" i="35"/>
  <c r="G78" i="35"/>
  <c r="H78" i="35"/>
  <c r="I78" i="35"/>
  <c r="J78" i="35"/>
  <c r="K78" i="35"/>
  <c r="L78" i="35"/>
  <c r="M78" i="35"/>
  <c r="N78" i="35"/>
  <c r="O78" i="35"/>
  <c r="P78" i="35"/>
  <c r="Q78" i="35"/>
  <c r="R78" i="35"/>
  <c r="S78" i="35"/>
  <c r="T78" i="35"/>
  <c r="U78" i="35"/>
  <c r="V78" i="35"/>
  <c r="W78" i="35"/>
  <c r="X78" i="35"/>
  <c r="Y78" i="35"/>
  <c r="Z78" i="35"/>
  <c r="AA78" i="35"/>
  <c r="AB78" i="35"/>
  <c r="AC78" i="35"/>
  <c r="AD78" i="35"/>
  <c r="AE78" i="35"/>
  <c r="AF78" i="35"/>
  <c r="AG78" i="35"/>
  <c r="AH78" i="35"/>
  <c r="AI78" i="35"/>
  <c r="AJ78" i="35"/>
  <c r="AK78" i="35"/>
  <c r="AL78" i="35"/>
  <c r="AM78" i="35"/>
  <c r="AN78" i="35"/>
  <c r="AO78" i="35"/>
  <c r="AP78" i="35"/>
  <c r="AQ78" i="35"/>
  <c r="AR78" i="35"/>
  <c r="AS78" i="35"/>
  <c r="AT78" i="35"/>
  <c r="AU78" i="35"/>
  <c r="AV78" i="35"/>
  <c r="AW78" i="35"/>
  <c r="AX78" i="35"/>
  <c r="AY78" i="35"/>
  <c r="AZ78" i="35"/>
  <c r="BA78" i="35"/>
  <c r="BB78" i="35"/>
  <c r="BC78" i="35"/>
  <c r="BD78" i="35"/>
  <c r="BE78" i="35"/>
  <c r="BF78" i="35"/>
  <c r="BG78" i="35"/>
  <c r="BH78" i="35"/>
  <c r="BI78" i="35"/>
  <c r="BJ78" i="35"/>
  <c r="BK78" i="35"/>
  <c r="BL78" i="35"/>
  <c r="BM78" i="35"/>
  <c r="BN78" i="35"/>
  <c r="BO78" i="35"/>
  <c r="BP78" i="35"/>
  <c r="BQ78" i="35"/>
  <c r="BR78" i="35"/>
  <c r="BS78" i="35"/>
  <c r="BT78" i="35"/>
  <c r="D79" i="35"/>
  <c r="E79" i="35"/>
  <c r="F79" i="35"/>
  <c r="G79" i="35"/>
  <c r="H79" i="35"/>
  <c r="I79" i="35"/>
  <c r="J79" i="35"/>
  <c r="K79" i="35"/>
  <c r="L79" i="35"/>
  <c r="M79" i="35"/>
  <c r="N79" i="35"/>
  <c r="O79" i="35"/>
  <c r="P79" i="35"/>
  <c r="Q79" i="35"/>
  <c r="R79" i="35"/>
  <c r="S79" i="35"/>
  <c r="T79" i="35"/>
  <c r="U79" i="35"/>
  <c r="V79" i="35"/>
  <c r="W79" i="35"/>
  <c r="X79" i="35"/>
  <c r="Y79" i="35"/>
  <c r="Z79" i="35"/>
  <c r="AA79" i="35"/>
  <c r="AB79" i="35"/>
  <c r="AC79" i="35"/>
  <c r="AD79" i="35"/>
  <c r="AE79" i="35"/>
  <c r="AF79" i="35"/>
  <c r="AG79" i="35"/>
  <c r="AH79" i="35"/>
  <c r="AI79" i="35"/>
  <c r="AJ79" i="35"/>
  <c r="AK79" i="35"/>
  <c r="AL79" i="35"/>
  <c r="AM79" i="35"/>
  <c r="AN79" i="35"/>
  <c r="AO79" i="35"/>
  <c r="AP79" i="35"/>
  <c r="AQ79" i="35"/>
  <c r="AR79" i="35"/>
  <c r="AS79" i="35"/>
  <c r="AT79" i="35"/>
  <c r="AU79" i="35"/>
  <c r="AV79" i="35"/>
  <c r="AW79" i="35"/>
  <c r="AX79" i="35"/>
  <c r="AY79" i="35"/>
  <c r="AZ79" i="35"/>
  <c r="BA79" i="35"/>
  <c r="BB79" i="35"/>
  <c r="BC79" i="35"/>
  <c r="BD79" i="35"/>
  <c r="BE79" i="35"/>
  <c r="BF79" i="35"/>
  <c r="BG79" i="35"/>
  <c r="BH79" i="35"/>
  <c r="BI79" i="35"/>
  <c r="BJ79" i="35"/>
  <c r="BK79" i="35"/>
  <c r="BL79" i="35"/>
  <c r="BM79" i="35"/>
  <c r="BN79" i="35"/>
  <c r="BO79" i="35"/>
  <c r="BP79" i="35"/>
  <c r="BQ79" i="35"/>
  <c r="BR79" i="35"/>
  <c r="BS79" i="35"/>
  <c r="BT79" i="35"/>
  <c r="BT71" i="35"/>
  <c r="BS71" i="35"/>
  <c r="BR71" i="35"/>
  <c r="BQ71" i="35"/>
  <c r="BP71" i="35"/>
  <c r="BO71" i="35"/>
  <c r="BN71" i="35"/>
  <c r="BM71" i="35"/>
  <c r="BL71" i="35"/>
  <c r="BK71" i="35"/>
  <c r="BJ71" i="35"/>
  <c r="BI71" i="35"/>
  <c r="BH71" i="35"/>
  <c r="BG71" i="35"/>
  <c r="BF71" i="35"/>
  <c r="BE71" i="35"/>
  <c r="BD71" i="35"/>
  <c r="BC71" i="35"/>
  <c r="BB71" i="35"/>
  <c r="BA71" i="35"/>
  <c r="AZ71" i="35"/>
  <c r="AY71" i="35"/>
  <c r="AX71" i="35"/>
  <c r="AW71" i="35"/>
  <c r="AV71" i="35"/>
  <c r="AU71" i="35"/>
  <c r="AT71" i="35"/>
  <c r="AS71" i="35"/>
  <c r="AR71" i="35"/>
  <c r="AQ71" i="35"/>
  <c r="AP71" i="35"/>
  <c r="AO71" i="35"/>
  <c r="AN71" i="35"/>
  <c r="AM71" i="35"/>
  <c r="AL71" i="35"/>
  <c r="AK71" i="35"/>
  <c r="AJ71" i="35"/>
  <c r="AI71" i="35"/>
  <c r="AH71" i="35"/>
  <c r="AG71" i="35"/>
  <c r="AF71" i="35"/>
  <c r="AE71" i="35"/>
  <c r="AD71" i="35"/>
  <c r="AC71" i="35"/>
  <c r="AB71" i="35"/>
  <c r="AA71" i="35"/>
  <c r="Z71" i="35"/>
  <c r="Y71" i="35"/>
  <c r="X71" i="35"/>
  <c r="W71" i="35"/>
  <c r="V71" i="35"/>
  <c r="U71" i="35"/>
  <c r="T71" i="35"/>
  <c r="S71" i="35"/>
  <c r="R71" i="35"/>
  <c r="Q71" i="35"/>
  <c r="P71" i="35"/>
  <c r="O71" i="35"/>
  <c r="N71" i="35"/>
  <c r="M71" i="35"/>
  <c r="L71" i="35"/>
  <c r="K71" i="35"/>
  <c r="J71" i="35"/>
  <c r="I71" i="35"/>
  <c r="H71" i="35"/>
  <c r="G71" i="35"/>
  <c r="F71" i="35"/>
  <c r="E71" i="35"/>
  <c r="D71" i="35"/>
  <c r="B74" i="29"/>
  <c r="B71" i="35"/>
  <c r="E6" i="34" l="1"/>
  <c r="E3" i="34" s="1"/>
  <c r="H6" i="34"/>
  <c r="G6" i="34"/>
  <c r="H3" i="34" s="1"/>
  <c r="Y4" i="34"/>
  <c r="AB4" i="34" s="1"/>
  <c r="Y5" i="34"/>
  <c r="Y6" i="34"/>
  <c r="Y7" i="34"/>
  <c r="Y8" i="34"/>
  <c r="Y9" i="34"/>
  <c r="Y10" i="34"/>
  <c r="Y11" i="34"/>
  <c r="Y12" i="34"/>
  <c r="Y13" i="34"/>
  <c r="Y14" i="34"/>
  <c r="Y15" i="34"/>
  <c r="Y16" i="34"/>
  <c r="Y17" i="34"/>
  <c r="Y18" i="34"/>
  <c r="Y19" i="34"/>
  <c r="Y20" i="34"/>
  <c r="Y21" i="34"/>
  <c r="Y22" i="34"/>
  <c r="Y23" i="34"/>
  <c r="Y24" i="34"/>
  <c r="D69" i="35"/>
  <c r="E69" i="35"/>
  <c r="F69" i="35"/>
  <c r="G69" i="35"/>
  <c r="H69" i="35"/>
  <c r="I69" i="35"/>
  <c r="J69" i="35"/>
  <c r="K69" i="35"/>
  <c r="L69" i="35"/>
  <c r="M69" i="35"/>
  <c r="N69" i="35"/>
  <c r="O69" i="35"/>
  <c r="P69" i="35"/>
  <c r="Q69" i="35"/>
  <c r="R69" i="35"/>
  <c r="S69" i="35"/>
  <c r="T69" i="35"/>
  <c r="U69" i="35"/>
  <c r="V69" i="35"/>
  <c r="W69" i="35"/>
  <c r="X69" i="35"/>
  <c r="Y69" i="35"/>
  <c r="Z69" i="35"/>
  <c r="AA69" i="35"/>
  <c r="AB69" i="35"/>
  <c r="AC69" i="35"/>
  <c r="AD69" i="35"/>
  <c r="AE69" i="35"/>
  <c r="AF69" i="35"/>
  <c r="AG69" i="35"/>
  <c r="AH69" i="35"/>
  <c r="AI69" i="35"/>
  <c r="AJ69" i="35"/>
  <c r="AK69" i="35"/>
  <c r="AL69" i="35"/>
  <c r="AM69" i="35"/>
  <c r="AN69" i="35"/>
  <c r="AO69" i="35"/>
  <c r="AP69" i="35"/>
  <c r="AQ69" i="35"/>
  <c r="AR69" i="35"/>
  <c r="AS69" i="35"/>
  <c r="AT69" i="35"/>
  <c r="AU69" i="35"/>
  <c r="AV69" i="35"/>
  <c r="AW69" i="35"/>
  <c r="AX69" i="35"/>
  <c r="AY69" i="35"/>
  <c r="AZ69" i="35"/>
  <c r="BA69" i="35"/>
  <c r="BB69" i="35"/>
  <c r="BC69" i="35"/>
  <c r="BD69" i="35"/>
  <c r="BE69" i="35"/>
  <c r="BF69" i="35"/>
  <c r="BG69" i="35"/>
  <c r="BH69" i="35"/>
  <c r="BI69" i="35"/>
  <c r="BJ69" i="35"/>
  <c r="BK69" i="35"/>
  <c r="BL69" i="35"/>
  <c r="BM69" i="35"/>
  <c r="BN69" i="35"/>
  <c r="BO69" i="35"/>
  <c r="BP69" i="35"/>
  <c r="BQ69" i="35"/>
  <c r="BR69" i="35"/>
  <c r="BS69" i="35"/>
  <c r="BT69" i="35"/>
  <c r="D70" i="35"/>
  <c r="E70" i="35"/>
  <c r="F70" i="35"/>
  <c r="G70" i="35"/>
  <c r="H70" i="35"/>
  <c r="I70" i="35"/>
  <c r="J70" i="35"/>
  <c r="K70" i="35"/>
  <c r="L70" i="35"/>
  <c r="M70" i="35"/>
  <c r="N70" i="35"/>
  <c r="O70" i="35"/>
  <c r="P70" i="35"/>
  <c r="Q70" i="35"/>
  <c r="R70" i="35"/>
  <c r="S70" i="35"/>
  <c r="T70" i="35"/>
  <c r="U70" i="35"/>
  <c r="V70" i="35"/>
  <c r="W70" i="35"/>
  <c r="X70" i="35"/>
  <c r="Y70" i="35"/>
  <c r="Z70" i="35"/>
  <c r="AA70" i="35"/>
  <c r="AB70" i="35"/>
  <c r="AC70" i="35"/>
  <c r="AD70" i="35"/>
  <c r="AE70" i="35"/>
  <c r="AF70" i="35"/>
  <c r="AG70" i="35"/>
  <c r="AH70" i="35"/>
  <c r="AI70" i="35"/>
  <c r="AJ70" i="35"/>
  <c r="AK70" i="35"/>
  <c r="AL70" i="35"/>
  <c r="AM70" i="35"/>
  <c r="AN70" i="35"/>
  <c r="AO70" i="35"/>
  <c r="AP70" i="35"/>
  <c r="AQ70" i="35"/>
  <c r="AR70" i="35"/>
  <c r="AS70" i="35"/>
  <c r="AT70" i="35"/>
  <c r="AU70" i="35"/>
  <c r="AV70" i="35"/>
  <c r="AW70" i="35"/>
  <c r="AX70" i="35"/>
  <c r="AY70" i="35"/>
  <c r="AZ70" i="35"/>
  <c r="BA70" i="35"/>
  <c r="BB70" i="35"/>
  <c r="BC70" i="35"/>
  <c r="BD70" i="35"/>
  <c r="BE70" i="35"/>
  <c r="BF70" i="35"/>
  <c r="BG70" i="35"/>
  <c r="BH70" i="35"/>
  <c r="BI70" i="35"/>
  <c r="BJ70" i="35"/>
  <c r="BK70" i="35"/>
  <c r="BL70" i="35"/>
  <c r="BM70" i="35"/>
  <c r="BN70" i="35"/>
  <c r="BO70" i="35"/>
  <c r="BP70" i="35"/>
  <c r="BQ70" i="35"/>
  <c r="BR70" i="35"/>
  <c r="BS70" i="35"/>
  <c r="BT70" i="35"/>
  <c r="AX3" i="35"/>
  <c r="AY3" i="35"/>
  <c r="AZ3" i="35"/>
  <c r="BA3" i="35"/>
  <c r="BB3" i="35"/>
  <c r="BC3" i="35"/>
  <c r="BD3" i="35"/>
  <c r="BE3" i="35"/>
  <c r="BF3" i="35"/>
  <c r="BG3" i="35"/>
  <c r="BH3" i="35"/>
  <c r="BI3" i="35"/>
  <c r="BJ3" i="35"/>
  <c r="BK3" i="35"/>
  <c r="BL3" i="35"/>
  <c r="BM3" i="35"/>
  <c r="BN3" i="35"/>
  <c r="BO3" i="35"/>
  <c r="BP3" i="35"/>
  <c r="BQ3" i="35"/>
  <c r="BR3" i="35"/>
  <c r="BS3" i="35"/>
  <c r="BT3" i="35"/>
  <c r="AX4" i="35"/>
  <c r="AY4" i="35"/>
  <c r="AZ4" i="35"/>
  <c r="BA4" i="35"/>
  <c r="BB4" i="35"/>
  <c r="BC4" i="35"/>
  <c r="BD4" i="35"/>
  <c r="BE4" i="35"/>
  <c r="BF4" i="35"/>
  <c r="BG4" i="35"/>
  <c r="BH4" i="35"/>
  <c r="BI4" i="35"/>
  <c r="BJ4" i="35"/>
  <c r="BK4" i="35"/>
  <c r="BL4" i="35"/>
  <c r="BM4" i="35"/>
  <c r="BN4" i="35"/>
  <c r="BO4" i="35"/>
  <c r="BP4" i="35"/>
  <c r="BQ4" i="35"/>
  <c r="BR4" i="35"/>
  <c r="BS4" i="35"/>
  <c r="BT4" i="35"/>
  <c r="AX5" i="35"/>
  <c r="AY5" i="35"/>
  <c r="AZ5" i="35"/>
  <c r="BA5" i="35"/>
  <c r="BB5" i="35"/>
  <c r="BC5" i="35"/>
  <c r="BD5" i="35"/>
  <c r="BE5" i="35"/>
  <c r="BF5" i="35"/>
  <c r="BG5" i="35"/>
  <c r="BH5" i="35"/>
  <c r="BI5" i="35"/>
  <c r="BJ5" i="35"/>
  <c r="BK5" i="35"/>
  <c r="BL5" i="35"/>
  <c r="BM5" i="35"/>
  <c r="BN5" i="35"/>
  <c r="BO5" i="35"/>
  <c r="BP5" i="35"/>
  <c r="BQ5" i="35"/>
  <c r="BR5" i="35"/>
  <c r="BS5" i="35"/>
  <c r="BT5" i="35"/>
  <c r="AX6" i="35"/>
  <c r="AY6" i="35"/>
  <c r="AZ6" i="35"/>
  <c r="BA6" i="35"/>
  <c r="BB6" i="35"/>
  <c r="BC6" i="35"/>
  <c r="BD6" i="35"/>
  <c r="BE6" i="35"/>
  <c r="BF6" i="35"/>
  <c r="BG6" i="35"/>
  <c r="BH6" i="35"/>
  <c r="BI6" i="35"/>
  <c r="BJ6" i="35"/>
  <c r="BK6" i="35"/>
  <c r="BL6" i="35"/>
  <c r="BM6" i="35"/>
  <c r="BN6" i="35"/>
  <c r="BO6" i="35"/>
  <c r="BP6" i="35"/>
  <c r="BQ6" i="35"/>
  <c r="BR6" i="35"/>
  <c r="BS6" i="35"/>
  <c r="BT6" i="35"/>
  <c r="AX7" i="35"/>
  <c r="AY7" i="35"/>
  <c r="AZ7" i="35"/>
  <c r="BA7" i="35"/>
  <c r="BB7" i="35"/>
  <c r="BC7" i="35"/>
  <c r="BD7" i="35"/>
  <c r="BE7" i="35"/>
  <c r="BF7" i="35"/>
  <c r="BG7" i="35"/>
  <c r="BH7" i="35"/>
  <c r="BI7" i="35"/>
  <c r="BJ7" i="35"/>
  <c r="BK7" i="35"/>
  <c r="BL7" i="35"/>
  <c r="BM7" i="35"/>
  <c r="BN7" i="35"/>
  <c r="BO7" i="35"/>
  <c r="BP7" i="35"/>
  <c r="BQ7" i="35"/>
  <c r="BR7" i="35"/>
  <c r="BS7" i="35"/>
  <c r="BT7" i="35"/>
  <c r="AX8" i="35"/>
  <c r="AY8" i="35"/>
  <c r="AZ8" i="35"/>
  <c r="BA8" i="35"/>
  <c r="BB8" i="35"/>
  <c r="BC8" i="35"/>
  <c r="BD8" i="35"/>
  <c r="BE8" i="35"/>
  <c r="BF8" i="35"/>
  <c r="BG8" i="35"/>
  <c r="BH8" i="35"/>
  <c r="BI8" i="35"/>
  <c r="BJ8" i="35"/>
  <c r="BK8" i="35"/>
  <c r="BL8" i="35"/>
  <c r="BM8" i="35"/>
  <c r="BN8" i="35"/>
  <c r="BO8" i="35"/>
  <c r="BP8" i="35"/>
  <c r="BQ8" i="35"/>
  <c r="BR8" i="35"/>
  <c r="BS8" i="35"/>
  <c r="BT8" i="35"/>
  <c r="AX9" i="35"/>
  <c r="AY9" i="35"/>
  <c r="AZ9" i="35"/>
  <c r="BA9" i="35"/>
  <c r="BB9" i="35"/>
  <c r="BC9" i="35"/>
  <c r="BD9" i="35"/>
  <c r="BE9" i="35"/>
  <c r="BF9" i="35"/>
  <c r="BG9" i="35"/>
  <c r="BH9" i="35"/>
  <c r="BI9" i="35"/>
  <c r="BJ9" i="35"/>
  <c r="BK9" i="35"/>
  <c r="BL9" i="35"/>
  <c r="BM9" i="35"/>
  <c r="BN9" i="35"/>
  <c r="BO9" i="35"/>
  <c r="BP9" i="35"/>
  <c r="BQ9" i="35"/>
  <c r="BR9" i="35"/>
  <c r="BS9" i="35"/>
  <c r="BT9" i="35"/>
  <c r="AX10" i="35"/>
  <c r="AY10" i="35"/>
  <c r="AZ10" i="35"/>
  <c r="BA10" i="35"/>
  <c r="BB10" i="35"/>
  <c r="BC10" i="35"/>
  <c r="BD10" i="35"/>
  <c r="BE10" i="35"/>
  <c r="BF10" i="35"/>
  <c r="BG10" i="35"/>
  <c r="BH10" i="35"/>
  <c r="BI10" i="35"/>
  <c r="BJ10" i="35"/>
  <c r="BK10" i="35"/>
  <c r="BL10" i="35"/>
  <c r="BM10" i="35"/>
  <c r="BN10" i="35"/>
  <c r="BO10" i="35"/>
  <c r="BP10" i="35"/>
  <c r="BQ10" i="35"/>
  <c r="BR10" i="35"/>
  <c r="BS10" i="35"/>
  <c r="BT10" i="35"/>
  <c r="AX11" i="35"/>
  <c r="AY11" i="35"/>
  <c r="AZ11" i="35"/>
  <c r="BA11" i="35"/>
  <c r="BB11" i="35"/>
  <c r="BC11" i="35"/>
  <c r="BD11" i="35"/>
  <c r="BE11" i="35"/>
  <c r="BF11" i="35"/>
  <c r="BG11" i="35"/>
  <c r="BH11" i="35"/>
  <c r="BI11" i="35"/>
  <c r="BJ11" i="35"/>
  <c r="BK11" i="35"/>
  <c r="BL11" i="35"/>
  <c r="BM11" i="35"/>
  <c r="BN11" i="35"/>
  <c r="BO11" i="35"/>
  <c r="BP11" i="35"/>
  <c r="BQ11" i="35"/>
  <c r="BR11" i="35"/>
  <c r="BS11" i="35"/>
  <c r="BT11" i="35"/>
  <c r="AX12" i="35"/>
  <c r="AY12" i="35"/>
  <c r="AZ12" i="35"/>
  <c r="BA12" i="35"/>
  <c r="BB12" i="35"/>
  <c r="BC12" i="35"/>
  <c r="BD12" i="35"/>
  <c r="BE12" i="35"/>
  <c r="BF12" i="35"/>
  <c r="BG12" i="35"/>
  <c r="BH12" i="35"/>
  <c r="BI12" i="35"/>
  <c r="BJ12" i="35"/>
  <c r="BK12" i="35"/>
  <c r="BL12" i="35"/>
  <c r="BM12" i="35"/>
  <c r="BN12" i="35"/>
  <c r="BO12" i="35"/>
  <c r="BP12" i="35"/>
  <c r="BQ12" i="35"/>
  <c r="BR12" i="35"/>
  <c r="BS12" i="35"/>
  <c r="BT12" i="35"/>
  <c r="AX13" i="35"/>
  <c r="AY13" i="35"/>
  <c r="AZ13" i="35"/>
  <c r="BA13" i="35"/>
  <c r="BB13" i="35"/>
  <c r="BC13" i="35"/>
  <c r="BD13" i="35"/>
  <c r="BE13" i="35"/>
  <c r="BF13" i="35"/>
  <c r="BG13" i="35"/>
  <c r="BH13" i="35"/>
  <c r="BI13" i="35"/>
  <c r="BJ13" i="35"/>
  <c r="BK13" i="35"/>
  <c r="BL13" i="35"/>
  <c r="BM13" i="35"/>
  <c r="BN13" i="35"/>
  <c r="BO13" i="35"/>
  <c r="BP13" i="35"/>
  <c r="BQ13" i="35"/>
  <c r="BR13" i="35"/>
  <c r="BS13" i="35"/>
  <c r="BT13" i="35"/>
  <c r="AX14" i="35"/>
  <c r="AY14" i="35"/>
  <c r="AZ14" i="35"/>
  <c r="BA14" i="35"/>
  <c r="BB14" i="35"/>
  <c r="BC14" i="35"/>
  <c r="BD14" i="35"/>
  <c r="BE14" i="35"/>
  <c r="BF14" i="35"/>
  <c r="BG14" i="35"/>
  <c r="BH14" i="35"/>
  <c r="BI14" i="35"/>
  <c r="BJ14" i="35"/>
  <c r="BK14" i="35"/>
  <c r="BL14" i="35"/>
  <c r="BM14" i="35"/>
  <c r="BN14" i="35"/>
  <c r="BO14" i="35"/>
  <c r="BP14" i="35"/>
  <c r="BQ14" i="35"/>
  <c r="BR14" i="35"/>
  <c r="BS14" i="35"/>
  <c r="BT14" i="35"/>
  <c r="AX15" i="35"/>
  <c r="AY15" i="35"/>
  <c r="AZ15" i="35"/>
  <c r="BA15" i="35"/>
  <c r="BB15" i="35"/>
  <c r="BC15" i="35"/>
  <c r="BD15" i="35"/>
  <c r="BE15" i="35"/>
  <c r="BF15" i="35"/>
  <c r="BG15" i="35"/>
  <c r="BH15" i="35"/>
  <c r="BI15" i="35"/>
  <c r="BJ15" i="35"/>
  <c r="BK15" i="35"/>
  <c r="BL15" i="35"/>
  <c r="BM15" i="35"/>
  <c r="BN15" i="35"/>
  <c r="BO15" i="35"/>
  <c r="BP15" i="35"/>
  <c r="BQ15" i="35"/>
  <c r="BR15" i="35"/>
  <c r="BS15" i="35"/>
  <c r="BT15" i="35"/>
  <c r="AX16" i="35"/>
  <c r="AY16" i="35"/>
  <c r="AZ16" i="35"/>
  <c r="BA16" i="35"/>
  <c r="BB16" i="35"/>
  <c r="BC16" i="35"/>
  <c r="BD16" i="35"/>
  <c r="BE16" i="35"/>
  <c r="BF16" i="35"/>
  <c r="BG16" i="35"/>
  <c r="BH16" i="35"/>
  <c r="BI16" i="35"/>
  <c r="BJ16" i="35"/>
  <c r="BK16" i="35"/>
  <c r="BL16" i="35"/>
  <c r="BM16" i="35"/>
  <c r="BN16" i="35"/>
  <c r="BO16" i="35"/>
  <c r="BP16" i="35"/>
  <c r="BQ16" i="35"/>
  <c r="BR16" i="35"/>
  <c r="BS16" i="35"/>
  <c r="BT16" i="35"/>
  <c r="AX17" i="35"/>
  <c r="AY17" i="35"/>
  <c r="AZ17" i="35"/>
  <c r="BA17" i="35"/>
  <c r="BB17" i="35"/>
  <c r="BC17" i="35"/>
  <c r="BD17" i="35"/>
  <c r="BE17" i="35"/>
  <c r="BF17" i="35"/>
  <c r="BG17" i="35"/>
  <c r="BH17" i="35"/>
  <c r="BI17" i="35"/>
  <c r="BJ17" i="35"/>
  <c r="BK17" i="35"/>
  <c r="BL17" i="35"/>
  <c r="BM17" i="35"/>
  <c r="BN17" i="35"/>
  <c r="BO17" i="35"/>
  <c r="BP17" i="35"/>
  <c r="BQ17" i="35"/>
  <c r="BR17" i="35"/>
  <c r="BS17" i="35"/>
  <c r="BT17" i="35"/>
  <c r="AX18" i="35"/>
  <c r="AY18" i="35"/>
  <c r="AZ18" i="35"/>
  <c r="BA18" i="35"/>
  <c r="BB18" i="35"/>
  <c r="BC18" i="35"/>
  <c r="BD18" i="35"/>
  <c r="BE18" i="35"/>
  <c r="BF18" i="35"/>
  <c r="BG18" i="35"/>
  <c r="BH18" i="35"/>
  <c r="BI18" i="35"/>
  <c r="BJ18" i="35"/>
  <c r="BK18" i="35"/>
  <c r="BL18" i="35"/>
  <c r="BM18" i="35"/>
  <c r="BN18" i="35"/>
  <c r="BO18" i="35"/>
  <c r="BP18" i="35"/>
  <c r="BQ18" i="35"/>
  <c r="BR18" i="35"/>
  <c r="BS18" i="35"/>
  <c r="BT18" i="35"/>
  <c r="AX19" i="35"/>
  <c r="AY19" i="35"/>
  <c r="AZ19" i="35"/>
  <c r="BA19" i="35"/>
  <c r="BB19" i="35"/>
  <c r="BC19" i="35"/>
  <c r="BD19" i="35"/>
  <c r="BE19" i="35"/>
  <c r="BF19" i="35"/>
  <c r="BG19" i="35"/>
  <c r="BH19" i="35"/>
  <c r="BI19" i="35"/>
  <c r="BJ19" i="35"/>
  <c r="BK19" i="35"/>
  <c r="BL19" i="35"/>
  <c r="BM19" i="35"/>
  <c r="BN19" i="35"/>
  <c r="BO19" i="35"/>
  <c r="BP19" i="35"/>
  <c r="BQ19" i="35"/>
  <c r="BR19" i="35"/>
  <c r="BS19" i="35"/>
  <c r="BT19" i="35"/>
  <c r="AX20" i="35"/>
  <c r="AY20" i="35"/>
  <c r="AZ20" i="35"/>
  <c r="BA20" i="35"/>
  <c r="BB20" i="35"/>
  <c r="BC20" i="35"/>
  <c r="BD20" i="35"/>
  <c r="BE20" i="35"/>
  <c r="BF20" i="35"/>
  <c r="BG20" i="35"/>
  <c r="BH20" i="35"/>
  <c r="BI20" i="35"/>
  <c r="BJ20" i="35"/>
  <c r="BK20" i="35"/>
  <c r="BL20" i="35"/>
  <c r="BM20" i="35"/>
  <c r="BN20" i="35"/>
  <c r="BO20" i="35"/>
  <c r="BP20" i="35"/>
  <c r="BQ20" i="35"/>
  <c r="BR20" i="35"/>
  <c r="BS20" i="35"/>
  <c r="BT20" i="35"/>
  <c r="AX21" i="35"/>
  <c r="AY21" i="35"/>
  <c r="AZ21" i="35"/>
  <c r="BA21" i="35"/>
  <c r="BB21" i="35"/>
  <c r="BC21" i="35"/>
  <c r="BD21" i="35"/>
  <c r="BE21" i="35"/>
  <c r="BF21" i="35"/>
  <c r="BG21" i="35"/>
  <c r="BH21" i="35"/>
  <c r="BI21" i="35"/>
  <c r="BJ21" i="35"/>
  <c r="BK21" i="35"/>
  <c r="BL21" i="35"/>
  <c r="BM21" i="35"/>
  <c r="BN21" i="35"/>
  <c r="BO21" i="35"/>
  <c r="BP21" i="35"/>
  <c r="BQ21" i="35"/>
  <c r="BR21" i="35"/>
  <c r="BS21" i="35"/>
  <c r="BT21" i="35"/>
  <c r="AX22" i="35"/>
  <c r="AY22" i="35"/>
  <c r="AZ22" i="35"/>
  <c r="BA22" i="35"/>
  <c r="BB22" i="35"/>
  <c r="BC22" i="35"/>
  <c r="BD22" i="35"/>
  <c r="BE22" i="35"/>
  <c r="BF22" i="35"/>
  <c r="BG22" i="35"/>
  <c r="BH22" i="35"/>
  <c r="BI22" i="35"/>
  <c r="BJ22" i="35"/>
  <c r="BK22" i="35"/>
  <c r="BL22" i="35"/>
  <c r="BM22" i="35"/>
  <c r="BN22" i="35"/>
  <c r="BO22" i="35"/>
  <c r="BP22" i="35"/>
  <c r="BQ22" i="35"/>
  <c r="BR22" i="35"/>
  <c r="BS22" i="35"/>
  <c r="BT22" i="35"/>
  <c r="AX23" i="35"/>
  <c r="AY23" i="35"/>
  <c r="AZ23" i="35"/>
  <c r="BA23" i="35"/>
  <c r="BB23" i="35"/>
  <c r="BC23" i="35"/>
  <c r="BD23" i="35"/>
  <c r="BE23" i="35"/>
  <c r="BF23" i="35"/>
  <c r="BG23" i="35"/>
  <c r="BH23" i="35"/>
  <c r="BI23" i="35"/>
  <c r="BJ23" i="35"/>
  <c r="BK23" i="35"/>
  <c r="BL23" i="35"/>
  <c r="BM23" i="35"/>
  <c r="BN23" i="35"/>
  <c r="BO23" i="35"/>
  <c r="BP23" i="35"/>
  <c r="BQ23" i="35"/>
  <c r="BR23" i="35"/>
  <c r="BS23" i="35"/>
  <c r="BT23" i="35"/>
  <c r="AX24" i="35"/>
  <c r="AY24" i="35"/>
  <c r="AZ24" i="35"/>
  <c r="BA24" i="35"/>
  <c r="BB24" i="35"/>
  <c r="BC24" i="35"/>
  <c r="BD24" i="35"/>
  <c r="BE24" i="35"/>
  <c r="BF24" i="35"/>
  <c r="BG24" i="35"/>
  <c r="BH24" i="35"/>
  <c r="BI24" i="35"/>
  <c r="BJ24" i="35"/>
  <c r="BK24" i="35"/>
  <c r="BL24" i="35"/>
  <c r="BM24" i="35"/>
  <c r="BN24" i="35"/>
  <c r="BO24" i="35"/>
  <c r="BP24" i="35"/>
  <c r="BQ24" i="35"/>
  <c r="BR24" i="35"/>
  <c r="BS24" i="35"/>
  <c r="BT24" i="35"/>
  <c r="AX25" i="35"/>
  <c r="AY25" i="35"/>
  <c r="AZ25" i="35"/>
  <c r="BA25" i="35"/>
  <c r="BB25" i="35"/>
  <c r="BC25" i="35"/>
  <c r="BD25" i="35"/>
  <c r="BE25" i="35"/>
  <c r="BF25" i="35"/>
  <c r="BG25" i="35"/>
  <c r="BH25" i="35"/>
  <c r="BI25" i="35"/>
  <c r="BJ25" i="35"/>
  <c r="BK25" i="35"/>
  <c r="BL25" i="35"/>
  <c r="BM25" i="35"/>
  <c r="BN25" i="35"/>
  <c r="BO25" i="35"/>
  <c r="BP25" i="35"/>
  <c r="BQ25" i="35"/>
  <c r="BR25" i="35"/>
  <c r="BS25" i="35"/>
  <c r="BT25" i="35"/>
  <c r="AX26" i="35"/>
  <c r="AY26" i="35"/>
  <c r="AZ26" i="35"/>
  <c r="BA26" i="35"/>
  <c r="BB26" i="35"/>
  <c r="BC26" i="35"/>
  <c r="BD26" i="35"/>
  <c r="BE26" i="35"/>
  <c r="BF26" i="35"/>
  <c r="BG26" i="35"/>
  <c r="BH26" i="35"/>
  <c r="BI26" i="35"/>
  <c r="BJ26" i="35"/>
  <c r="BK26" i="35"/>
  <c r="BL26" i="35"/>
  <c r="BM26" i="35"/>
  <c r="BN26" i="35"/>
  <c r="BO26" i="35"/>
  <c r="BP26" i="35"/>
  <c r="BQ26" i="35"/>
  <c r="BR26" i="35"/>
  <c r="BS26" i="35"/>
  <c r="BT26" i="35"/>
  <c r="AX27" i="35"/>
  <c r="AY27" i="35"/>
  <c r="AZ27" i="35"/>
  <c r="BA27" i="35"/>
  <c r="BB27" i="35"/>
  <c r="BC27" i="35"/>
  <c r="BD27" i="35"/>
  <c r="BE27" i="35"/>
  <c r="BF27" i="35"/>
  <c r="BG27" i="35"/>
  <c r="BH27" i="35"/>
  <c r="BI27" i="35"/>
  <c r="BJ27" i="35"/>
  <c r="BK27" i="35"/>
  <c r="BL27" i="35"/>
  <c r="BM27" i="35"/>
  <c r="BN27" i="35"/>
  <c r="BO27" i="35"/>
  <c r="BP27" i="35"/>
  <c r="BQ27" i="35"/>
  <c r="BR27" i="35"/>
  <c r="BS27" i="35"/>
  <c r="BT27" i="35"/>
  <c r="AX28" i="35"/>
  <c r="AY28" i="35"/>
  <c r="AZ28" i="35"/>
  <c r="BA28" i="35"/>
  <c r="BB28" i="35"/>
  <c r="BC28" i="35"/>
  <c r="BD28" i="35"/>
  <c r="BE28" i="35"/>
  <c r="BF28" i="35"/>
  <c r="BG28" i="35"/>
  <c r="BH28" i="35"/>
  <c r="BI28" i="35"/>
  <c r="BJ28" i="35"/>
  <c r="BK28" i="35"/>
  <c r="BL28" i="35"/>
  <c r="BM28" i="35"/>
  <c r="BN28" i="35"/>
  <c r="BO28" i="35"/>
  <c r="BP28" i="35"/>
  <c r="BQ28" i="35"/>
  <c r="BR28" i="35"/>
  <c r="BS28" i="35"/>
  <c r="BT28" i="35"/>
  <c r="AX29" i="35"/>
  <c r="AY29" i="35"/>
  <c r="AZ29" i="35"/>
  <c r="BA29" i="35"/>
  <c r="BB29" i="35"/>
  <c r="BC29" i="35"/>
  <c r="BD29" i="35"/>
  <c r="BE29" i="35"/>
  <c r="BF29" i="35"/>
  <c r="BG29" i="35"/>
  <c r="BH29" i="35"/>
  <c r="BI29" i="35"/>
  <c r="BJ29" i="35"/>
  <c r="BK29" i="35"/>
  <c r="BL29" i="35"/>
  <c r="BM29" i="35"/>
  <c r="BN29" i="35"/>
  <c r="BO29" i="35"/>
  <c r="BP29" i="35"/>
  <c r="BQ29" i="35"/>
  <c r="BR29" i="35"/>
  <c r="BS29" i="35"/>
  <c r="BT29" i="35"/>
  <c r="AX30" i="35"/>
  <c r="AY30" i="35"/>
  <c r="AZ30" i="35"/>
  <c r="BA30" i="35"/>
  <c r="BB30" i="35"/>
  <c r="BC30" i="35"/>
  <c r="BD30" i="35"/>
  <c r="BE30" i="35"/>
  <c r="BF30" i="35"/>
  <c r="BG30" i="35"/>
  <c r="BH30" i="35"/>
  <c r="BI30" i="35"/>
  <c r="BJ30" i="35"/>
  <c r="BK30" i="35"/>
  <c r="BL30" i="35"/>
  <c r="BM30" i="35"/>
  <c r="BN30" i="35"/>
  <c r="BO30" i="35"/>
  <c r="BP30" i="35"/>
  <c r="BQ30" i="35"/>
  <c r="BR30" i="35"/>
  <c r="BS30" i="35"/>
  <c r="BT30" i="35"/>
  <c r="AX31" i="35"/>
  <c r="AY31" i="35"/>
  <c r="AZ31" i="35"/>
  <c r="BA31" i="35"/>
  <c r="BB31" i="35"/>
  <c r="BC31" i="35"/>
  <c r="BD31" i="35"/>
  <c r="BE31" i="35"/>
  <c r="BF31" i="35"/>
  <c r="BG31" i="35"/>
  <c r="BH31" i="35"/>
  <c r="BI31" i="35"/>
  <c r="BJ31" i="35"/>
  <c r="BK31" i="35"/>
  <c r="BL31" i="35"/>
  <c r="BM31" i="35"/>
  <c r="BN31" i="35"/>
  <c r="BO31" i="35"/>
  <c r="BP31" i="35"/>
  <c r="BQ31" i="35"/>
  <c r="BR31" i="35"/>
  <c r="BS31" i="35"/>
  <c r="BT31" i="35"/>
  <c r="AX32" i="35"/>
  <c r="AY32" i="35"/>
  <c r="AZ32" i="35"/>
  <c r="BA32" i="35"/>
  <c r="BB32" i="35"/>
  <c r="BC32" i="35"/>
  <c r="BD32" i="35"/>
  <c r="BE32" i="35"/>
  <c r="BF32" i="35"/>
  <c r="BG32" i="35"/>
  <c r="BH32" i="35"/>
  <c r="BI32" i="35"/>
  <c r="BJ32" i="35"/>
  <c r="BK32" i="35"/>
  <c r="BL32" i="35"/>
  <c r="BM32" i="35"/>
  <c r="BN32" i="35"/>
  <c r="BO32" i="35"/>
  <c r="BP32" i="35"/>
  <c r="BQ32" i="35"/>
  <c r="BR32" i="35"/>
  <c r="BS32" i="35"/>
  <c r="BT32" i="35"/>
  <c r="AX33" i="35"/>
  <c r="AY33" i="35"/>
  <c r="AZ33" i="35"/>
  <c r="BA33" i="35"/>
  <c r="BB33" i="35"/>
  <c r="BC33" i="35"/>
  <c r="BD33" i="35"/>
  <c r="BE33" i="35"/>
  <c r="BF33" i="35"/>
  <c r="BG33" i="35"/>
  <c r="BH33" i="35"/>
  <c r="BI33" i="35"/>
  <c r="BJ33" i="35"/>
  <c r="BK33" i="35"/>
  <c r="BL33" i="35"/>
  <c r="BM33" i="35"/>
  <c r="BN33" i="35"/>
  <c r="BO33" i="35"/>
  <c r="BP33" i="35"/>
  <c r="BQ33" i="35"/>
  <c r="BR33" i="35"/>
  <c r="BS33" i="35"/>
  <c r="BT33" i="35"/>
  <c r="AX34" i="35"/>
  <c r="AY34" i="35"/>
  <c r="AZ34" i="35"/>
  <c r="BA34" i="35"/>
  <c r="BB34" i="35"/>
  <c r="BC34" i="35"/>
  <c r="BD34" i="35"/>
  <c r="BE34" i="35"/>
  <c r="BF34" i="35"/>
  <c r="BG34" i="35"/>
  <c r="BH34" i="35"/>
  <c r="BI34" i="35"/>
  <c r="BJ34" i="35"/>
  <c r="BK34" i="35"/>
  <c r="BL34" i="35"/>
  <c r="BM34" i="35"/>
  <c r="BN34" i="35"/>
  <c r="BO34" i="35"/>
  <c r="BP34" i="35"/>
  <c r="BQ34" i="35"/>
  <c r="BR34" i="35"/>
  <c r="BS34" i="35"/>
  <c r="BT34" i="35"/>
  <c r="AX35" i="35"/>
  <c r="AY35" i="35"/>
  <c r="AZ35" i="35"/>
  <c r="BA35" i="35"/>
  <c r="BB35" i="35"/>
  <c r="BC35" i="35"/>
  <c r="BD35" i="35"/>
  <c r="BE35" i="35"/>
  <c r="BF35" i="35"/>
  <c r="BG35" i="35"/>
  <c r="BH35" i="35"/>
  <c r="BI35" i="35"/>
  <c r="BJ35" i="35"/>
  <c r="BK35" i="35"/>
  <c r="BL35" i="35"/>
  <c r="BM35" i="35"/>
  <c r="BN35" i="35"/>
  <c r="BO35" i="35"/>
  <c r="BP35" i="35"/>
  <c r="BQ35" i="35"/>
  <c r="BR35" i="35"/>
  <c r="BS35" i="35"/>
  <c r="BT35" i="35"/>
  <c r="AX36" i="35"/>
  <c r="AY36" i="35"/>
  <c r="AZ36" i="35"/>
  <c r="BA36" i="35"/>
  <c r="BB36" i="35"/>
  <c r="BC36" i="35"/>
  <c r="BD36" i="35"/>
  <c r="BE36" i="35"/>
  <c r="BF36" i="35"/>
  <c r="BG36" i="35"/>
  <c r="BH36" i="35"/>
  <c r="BI36" i="35"/>
  <c r="BJ36" i="35"/>
  <c r="BK36" i="35"/>
  <c r="BL36" i="35"/>
  <c r="BM36" i="35"/>
  <c r="BN36" i="35"/>
  <c r="BO36" i="35"/>
  <c r="BP36" i="35"/>
  <c r="BQ36" i="35"/>
  <c r="BR36" i="35"/>
  <c r="BS36" i="35"/>
  <c r="BT36" i="35"/>
  <c r="AX37" i="35"/>
  <c r="AY37" i="35"/>
  <c r="AZ37" i="35"/>
  <c r="BA37" i="35"/>
  <c r="BB37" i="35"/>
  <c r="BC37" i="35"/>
  <c r="BD37" i="35"/>
  <c r="BE37" i="35"/>
  <c r="BF37" i="35"/>
  <c r="BG37" i="35"/>
  <c r="BH37" i="35"/>
  <c r="BI37" i="35"/>
  <c r="BJ37" i="35"/>
  <c r="BK37" i="35"/>
  <c r="BL37" i="35"/>
  <c r="BM37" i="35"/>
  <c r="BN37" i="35"/>
  <c r="BO37" i="35"/>
  <c r="BP37" i="35"/>
  <c r="BQ37" i="35"/>
  <c r="BR37" i="35"/>
  <c r="BS37" i="35"/>
  <c r="BT37" i="35"/>
  <c r="AX38" i="35"/>
  <c r="AY38" i="35"/>
  <c r="AZ38" i="35"/>
  <c r="BA38" i="35"/>
  <c r="BB38" i="35"/>
  <c r="BC38" i="35"/>
  <c r="BD38" i="35"/>
  <c r="BE38" i="35"/>
  <c r="BF38" i="35"/>
  <c r="BG38" i="35"/>
  <c r="BH38" i="35"/>
  <c r="BI38" i="35"/>
  <c r="BJ38" i="35"/>
  <c r="BK38" i="35"/>
  <c r="BL38" i="35"/>
  <c r="BM38" i="35"/>
  <c r="BN38" i="35"/>
  <c r="BO38" i="35"/>
  <c r="BP38" i="35"/>
  <c r="BQ38" i="35"/>
  <c r="BR38" i="35"/>
  <c r="BS38" i="35"/>
  <c r="BT38" i="35"/>
  <c r="AX39" i="35"/>
  <c r="AY39" i="35"/>
  <c r="AZ39" i="35"/>
  <c r="BA39" i="35"/>
  <c r="BB39" i="35"/>
  <c r="BC39" i="35"/>
  <c r="BD39" i="35"/>
  <c r="BE39" i="35"/>
  <c r="BF39" i="35"/>
  <c r="BG39" i="35"/>
  <c r="BH39" i="35"/>
  <c r="BI39" i="35"/>
  <c r="BJ39" i="35"/>
  <c r="BK39" i="35"/>
  <c r="BL39" i="35"/>
  <c r="BM39" i="35"/>
  <c r="BN39" i="35"/>
  <c r="BO39" i="35"/>
  <c r="BP39" i="35"/>
  <c r="BQ39" i="35"/>
  <c r="BR39" i="35"/>
  <c r="BS39" i="35"/>
  <c r="BT39" i="35"/>
  <c r="AX40" i="35"/>
  <c r="AY40" i="35"/>
  <c r="AZ40" i="35"/>
  <c r="BA40" i="35"/>
  <c r="BB40" i="35"/>
  <c r="BC40" i="35"/>
  <c r="BD40" i="35"/>
  <c r="BE40" i="35"/>
  <c r="BF40" i="35"/>
  <c r="BG40" i="35"/>
  <c r="BH40" i="35"/>
  <c r="BI40" i="35"/>
  <c r="BJ40" i="35"/>
  <c r="BK40" i="35"/>
  <c r="BL40" i="35"/>
  <c r="BM40" i="35"/>
  <c r="BN40" i="35"/>
  <c r="BO40" i="35"/>
  <c r="BP40" i="35"/>
  <c r="BQ40" i="35"/>
  <c r="BR40" i="35"/>
  <c r="BS40" i="35"/>
  <c r="BT40" i="35"/>
  <c r="AX41" i="35"/>
  <c r="AY41" i="35"/>
  <c r="AZ41" i="35"/>
  <c r="BA41" i="35"/>
  <c r="BB41" i="35"/>
  <c r="BC41" i="35"/>
  <c r="BD41" i="35"/>
  <c r="BE41" i="35"/>
  <c r="BF41" i="35"/>
  <c r="BG41" i="35"/>
  <c r="BH41" i="35"/>
  <c r="BI41" i="35"/>
  <c r="BJ41" i="35"/>
  <c r="BK41" i="35"/>
  <c r="BL41" i="35"/>
  <c r="BM41" i="35"/>
  <c r="BN41" i="35"/>
  <c r="BO41" i="35"/>
  <c r="BP41" i="35"/>
  <c r="BQ41" i="35"/>
  <c r="BR41" i="35"/>
  <c r="BS41" i="35"/>
  <c r="BT41" i="35"/>
  <c r="AX42" i="35"/>
  <c r="AY42" i="35"/>
  <c r="AZ42" i="35"/>
  <c r="BA42" i="35"/>
  <c r="BB42" i="35"/>
  <c r="BC42" i="35"/>
  <c r="BD42" i="35"/>
  <c r="BE42" i="35"/>
  <c r="BF42" i="35"/>
  <c r="BG42" i="35"/>
  <c r="BH42" i="35"/>
  <c r="BI42" i="35"/>
  <c r="BJ42" i="35"/>
  <c r="BK42" i="35"/>
  <c r="BL42" i="35"/>
  <c r="BM42" i="35"/>
  <c r="BN42" i="35"/>
  <c r="BO42" i="35"/>
  <c r="BP42" i="35"/>
  <c r="BQ42" i="35"/>
  <c r="BR42" i="35"/>
  <c r="BS42" i="35"/>
  <c r="BT42" i="35"/>
  <c r="AX43" i="35"/>
  <c r="AY43" i="35"/>
  <c r="AZ43" i="35"/>
  <c r="BA43" i="35"/>
  <c r="BB43" i="35"/>
  <c r="BC43" i="35"/>
  <c r="BD43" i="35"/>
  <c r="BE43" i="35"/>
  <c r="BF43" i="35"/>
  <c r="BG43" i="35"/>
  <c r="BH43" i="35"/>
  <c r="BI43" i="35"/>
  <c r="BJ43" i="35"/>
  <c r="BK43" i="35"/>
  <c r="BL43" i="35"/>
  <c r="BM43" i="35"/>
  <c r="BN43" i="35"/>
  <c r="BO43" i="35"/>
  <c r="BP43" i="35"/>
  <c r="BQ43" i="35"/>
  <c r="BR43" i="35"/>
  <c r="BS43" i="35"/>
  <c r="BT43" i="35"/>
  <c r="AX44" i="35"/>
  <c r="AY44" i="35"/>
  <c r="AZ44" i="35"/>
  <c r="BA44" i="35"/>
  <c r="BB44" i="35"/>
  <c r="BC44" i="35"/>
  <c r="BD44" i="35"/>
  <c r="BE44" i="35"/>
  <c r="BF44" i="35"/>
  <c r="BG44" i="35"/>
  <c r="BH44" i="35"/>
  <c r="BI44" i="35"/>
  <c r="BJ44" i="35"/>
  <c r="BK44" i="35"/>
  <c r="BL44" i="35"/>
  <c r="BM44" i="35"/>
  <c r="BN44" i="35"/>
  <c r="BO44" i="35"/>
  <c r="BP44" i="35"/>
  <c r="BQ44" i="35"/>
  <c r="BR44" i="35"/>
  <c r="BS44" i="35"/>
  <c r="BT44" i="35"/>
  <c r="AX45" i="35"/>
  <c r="AY45" i="35"/>
  <c r="AZ45" i="35"/>
  <c r="BA45" i="35"/>
  <c r="BB45" i="35"/>
  <c r="BC45" i="35"/>
  <c r="BD45" i="35"/>
  <c r="BE45" i="35"/>
  <c r="BF45" i="35"/>
  <c r="BG45" i="35"/>
  <c r="BH45" i="35"/>
  <c r="BI45" i="35"/>
  <c r="BJ45" i="35"/>
  <c r="BK45" i="35"/>
  <c r="BL45" i="35"/>
  <c r="BM45" i="35"/>
  <c r="BN45" i="35"/>
  <c r="BO45" i="35"/>
  <c r="BP45" i="35"/>
  <c r="BQ45" i="35"/>
  <c r="BR45" i="35"/>
  <c r="BS45" i="35"/>
  <c r="BT45" i="35"/>
  <c r="AX46" i="35"/>
  <c r="AY46" i="35"/>
  <c r="AZ46" i="35"/>
  <c r="BA46" i="35"/>
  <c r="BB46" i="35"/>
  <c r="BC46" i="35"/>
  <c r="BD46" i="35"/>
  <c r="BE46" i="35"/>
  <c r="BF46" i="35"/>
  <c r="BG46" i="35"/>
  <c r="BH46" i="35"/>
  <c r="BI46" i="35"/>
  <c r="BJ46" i="35"/>
  <c r="BK46" i="35"/>
  <c r="BL46" i="35"/>
  <c r="BM46" i="35"/>
  <c r="BN46" i="35"/>
  <c r="BO46" i="35"/>
  <c r="BP46" i="35"/>
  <c r="BQ46" i="35"/>
  <c r="BR46" i="35"/>
  <c r="BS46" i="35"/>
  <c r="BT46" i="35"/>
  <c r="AX47" i="35"/>
  <c r="AY47" i="35"/>
  <c r="AZ47" i="35"/>
  <c r="BA47" i="35"/>
  <c r="BB47" i="35"/>
  <c r="BC47" i="35"/>
  <c r="BD47" i="35"/>
  <c r="BE47" i="35"/>
  <c r="BF47" i="35"/>
  <c r="BG47" i="35"/>
  <c r="BH47" i="35"/>
  <c r="BI47" i="35"/>
  <c r="BJ47" i="35"/>
  <c r="BK47" i="35"/>
  <c r="BL47" i="35"/>
  <c r="BM47" i="35"/>
  <c r="BN47" i="35"/>
  <c r="BO47" i="35"/>
  <c r="BP47" i="35"/>
  <c r="BQ47" i="35"/>
  <c r="BR47" i="35"/>
  <c r="BS47" i="35"/>
  <c r="BT47" i="35"/>
  <c r="AX48" i="35"/>
  <c r="AY48" i="35"/>
  <c r="AZ48" i="35"/>
  <c r="BA48" i="35"/>
  <c r="BB48" i="35"/>
  <c r="BC48" i="35"/>
  <c r="BD48" i="35"/>
  <c r="BE48" i="35"/>
  <c r="BF48" i="35"/>
  <c r="BG48" i="35"/>
  <c r="BH48" i="35"/>
  <c r="BI48" i="35"/>
  <c r="BJ48" i="35"/>
  <c r="BK48" i="35"/>
  <c r="BL48" i="35"/>
  <c r="BM48" i="35"/>
  <c r="BN48" i="35"/>
  <c r="BO48" i="35"/>
  <c r="BP48" i="35"/>
  <c r="BQ48" i="35"/>
  <c r="BR48" i="35"/>
  <c r="BS48" i="35"/>
  <c r="BT48" i="35"/>
  <c r="AX49" i="35"/>
  <c r="AY49" i="35"/>
  <c r="AZ49" i="35"/>
  <c r="BA49" i="35"/>
  <c r="BB49" i="35"/>
  <c r="BC49" i="35"/>
  <c r="BD49" i="35"/>
  <c r="BE49" i="35"/>
  <c r="BF49" i="35"/>
  <c r="BG49" i="35"/>
  <c r="BH49" i="35"/>
  <c r="BI49" i="35"/>
  <c r="BJ49" i="35"/>
  <c r="BK49" i="35"/>
  <c r="BL49" i="35"/>
  <c r="BM49" i="35"/>
  <c r="BN49" i="35"/>
  <c r="BO49" i="35"/>
  <c r="BP49" i="35"/>
  <c r="BQ49" i="35"/>
  <c r="BR49" i="35"/>
  <c r="BS49" i="35"/>
  <c r="BT49" i="35"/>
  <c r="AX50" i="35"/>
  <c r="AY50" i="35"/>
  <c r="AZ50" i="35"/>
  <c r="BA50" i="35"/>
  <c r="BB50" i="35"/>
  <c r="BC50" i="35"/>
  <c r="BD50" i="35"/>
  <c r="BE50" i="35"/>
  <c r="BF50" i="35"/>
  <c r="BG50" i="35"/>
  <c r="BH50" i="35"/>
  <c r="BI50" i="35"/>
  <c r="BJ50" i="35"/>
  <c r="BK50" i="35"/>
  <c r="BL50" i="35"/>
  <c r="BM50" i="35"/>
  <c r="BN50" i="35"/>
  <c r="BO50" i="35"/>
  <c r="BP50" i="35"/>
  <c r="BQ50" i="35"/>
  <c r="BR50" i="35"/>
  <c r="BS50" i="35"/>
  <c r="BT50" i="35"/>
  <c r="AX51" i="35"/>
  <c r="AY51" i="35"/>
  <c r="AZ51" i="35"/>
  <c r="BA51" i="35"/>
  <c r="BB51" i="35"/>
  <c r="BC51" i="35"/>
  <c r="BD51" i="35"/>
  <c r="BE51" i="35"/>
  <c r="BF51" i="35"/>
  <c r="BG51" i="35"/>
  <c r="BH51" i="35"/>
  <c r="BI51" i="35"/>
  <c r="BJ51" i="35"/>
  <c r="BK51" i="35"/>
  <c r="BL51" i="35"/>
  <c r="BM51" i="35"/>
  <c r="BN51" i="35"/>
  <c r="BO51" i="35"/>
  <c r="BP51" i="35"/>
  <c r="BQ51" i="35"/>
  <c r="BR51" i="35"/>
  <c r="BS51" i="35"/>
  <c r="BT51" i="35"/>
  <c r="AX52" i="35"/>
  <c r="AY52" i="35"/>
  <c r="AZ52" i="35"/>
  <c r="BA52" i="35"/>
  <c r="BB52" i="35"/>
  <c r="BC52" i="35"/>
  <c r="BD52" i="35"/>
  <c r="BE52" i="35"/>
  <c r="BF52" i="35"/>
  <c r="BG52" i="35"/>
  <c r="BH52" i="35"/>
  <c r="BI52" i="35"/>
  <c r="BJ52" i="35"/>
  <c r="BK52" i="35"/>
  <c r="BL52" i="35"/>
  <c r="BM52" i="35"/>
  <c r="BN52" i="35"/>
  <c r="BO52" i="35"/>
  <c r="BP52" i="35"/>
  <c r="BQ52" i="35"/>
  <c r="BR52" i="35"/>
  <c r="BS52" i="35"/>
  <c r="BT52" i="35"/>
  <c r="AX53" i="35"/>
  <c r="AY53" i="35"/>
  <c r="AZ53" i="35"/>
  <c r="BA53" i="35"/>
  <c r="BB53" i="35"/>
  <c r="BC53" i="35"/>
  <c r="BD53" i="35"/>
  <c r="BE53" i="35"/>
  <c r="BF53" i="35"/>
  <c r="BG53" i="35"/>
  <c r="BH53" i="35"/>
  <c r="BI53" i="35"/>
  <c r="BJ53" i="35"/>
  <c r="BK53" i="35"/>
  <c r="BL53" i="35"/>
  <c r="BM53" i="35"/>
  <c r="BN53" i="35"/>
  <c r="BO53" i="35"/>
  <c r="BP53" i="35"/>
  <c r="BQ53" i="35"/>
  <c r="BR53" i="35"/>
  <c r="BS53" i="35"/>
  <c r="BT53" i="35"/>
  <c r="AX54" i="35"/>
  <c r="AY54" i="35"/>
  <c r="AZ54" i="35"/>
  <c r="BA54" i="35"/>
  <c r="BB54" i="35"/>
  <c r="BC54" i="35"/>
  <c r="BD54" i="35"/>
  <c r="BE54" i="35"/>
  <c r="BF54" i="35"/>
  <c r="BG54" i="35"/>
  <c r="BH54" i="35"/>
  <c r="BI54" i="35"/>
  <c r="BJ54" i="35"/>
  <c r="BK54" i="35"/>
  <c r="BL54" i="35"/>
  <c r="BM54" i="35"/>
  <c r="BN54" i="35"/>
  <c r="BO54" i="35"/>
  <c r="BP54" i="35"/>
  <c r="BQ54" i="35"/>
  <c r="BR54" i="35"/>
  <c r="BS54" i="35"/>
  <c r="BT54" i="35"/>
  <c r="AX55" i="35"/>
  <c r="AY55" i="35"/>
  <c r="AZ55" i="35"/>
  <c r="BA55" i="35"/>
  <c r="BB55" i="35"/>
  <c r="BC55" i="35"/>
  <c r="BD55" i="35"/>
  <c r="BE55" i="35"/>
  <c r="BF55" i="35"/>
  <c r="BG55" i="35"/>
  <c r="BH55" i="35"/>
  <c r="BI55" i="35"/>
  <c r="BJ55" i="35"/>
  <c r="BK55" i="35"/>
  <c r="BL55" i="35"/>
  <c r="BM55" i="35"/>
  <c r="BN55" i="35"/>
  <c r="BO55" i="35"/>
  <c r="BP55" i="35"/>
  <c r="BQ55" i="35"/>
  <c r="BR55" i="35"/>
  <c r="BS55" i="35"/>
  <c r="BT55" i="35"/>
  <c r="AX56" i="35"/>
  <c r="AY56" i="35"/>
  <c r="AZ56" i="35"/>
  <c r="BA56" i="35"/>
  <c r="BB56" i="35"/>
  <c r="BC56" i="35"/>
  <c r="BD56" i="35"/>
  <c r="BE56" i="35"/>
  <c r="BF56" i="35"/>
  <c r="BG56" i="35"/>
  <c r="BH56" i="35"/>
  <c r="BI56" i="35"/>
  <c r="BJ56" i="35"/>
  <c r="BK56" i="35"/>
  <c r="BL56" i="35"/>
  <c r="BM56" i="35"/>
  <c r="BN56" i="35"/>
  <c r="BO56" i="35"/>
  <c r="BP56" i="35"/>
  <c r="BQ56" i="35"/>
  <c r="BR56" i="35"/>
  <c r="BS56" i="35"/>
  <c r="BT56" i="35"/>
  <c r="AX57" i="35"/>
  <c r="AY57" i="35"/>
  <c r="AZ57" i="35"/>
  <c r="BA57" i="35"/>
  <c r="BB57" i="35"/>
  <c r="BC57" i="35"/>
  <c r="BD57" i="35"/>
  <c r="BE57" i="35"/>
  <c r="BF57" i="35"/>
  <c r="BG57" i="35"/>
  <c r="BH57" i="35"/>
  <c r="BI57" i="35"/>
  <c r="BJ57" i="35"/>
  <c r="BK57" i="35"/>
  <c r="BL57" i="35"/>
  <c r="BM57" i="35"/>
  <c r="BN57" i="35"/>
  <c r="BO57" i="35"/>
  <c r="BP57" i="35"/>
  <c r="BQ57" i="35"/>
  <c r="BR57" i="35"/>
  <c r="BS57" i="35"/>
  <c r="BT57" i="35"/>
  <c r="AX58" i="35"/>
  <c r="AY58" i="35"/>
  <c r="AZ58" i="35"/>
  <c r="BA58" i="35"/>
  <c r="BB58" i="35"/>
  <c r="BC58" i="35"/>
  <c r="BD58" i="35"/>
  <c r="BE58" i="35"/>
  <c r="BF58" i="35"/>
  <c r="BG58" i="35"/>
  <c r="BH58" i="35"/>
  <c r="BI58" i="35"/>
  <c r="BJ58" i="35"/>
  <c r="BK58" i="35"/>
  <c r="BL58" i="35"/>
  <c r="BM58" i="35"/>
  <c r="BN58" i="35"/>
  <c r="BO58" i="35"/>
  <c r="BP58" i="35"/>
  <c r="BQ58" i="35"/>
  <c r="BR58" i="35"/>
  <c r="BS58" i="35"/>
  <c r="BT58" i="35"/>
  <c r="AX59" i="35"/>
  <c r="AY59" i="35"/>
  <c r="AZ59" i="35"/>
  <c r="BA59" i="35"/>
  <c r="BB59" i="35"/>
  <c r="BC59" i="35"/>
  <c r="BD59" i="35"/>
  <c r="BE59" i="35"/>
  <c r="BF59" i="35"/>
  <c r="BG59" i="35"/>
  <c r="BH59" i="35"/>
  <c r="BI59" i="35"/>
  <c r="BJ59" i="35"/>
  <c r="BK59" i="35"/>
  <c r="BL59" i="35"/>
  <c r="BM59" i="35"/>
  <c r="BN59" i="35"/>
  <c r="BO59" i="35"/>
  <c r="BP59" i="35"/>
  <c r="BQ59" i="35"/>
  <c r="BR59" i="35"/>
  <c r="BS59" i="35"/>
  <c r="BT59" i="35"/>
  <c r="AX60" i="35"/>
  <c r="AY60" i="35"/>
  <c r="AZ60" i="35"/>
  <c r="BA60" i="35"/>
  <c r="BB60" i="35"/>
  <c r="BC60" i="35"/>
  <c r="BD60" i="35"/>
  <c r="BE60" i="35"/>
  <c r="BF60" i="35"/>
  <c r="BG60" i="35"/>
  <c r="BH60" i="35"/>
  <c r="BI60" i="35"/>
  <c r="BJ60" i="35"/>
  <c r="BK60" i="35"/>
  <c r="BL60" i="35"/>
  <c r="BM60" i="35"/>
  <c r="BN60" i="35"/>
  <c r="BO60" i="35"/>
  <c r="BP60" i="35"/>
  <c r="BQ60" i="35"/>
  <c r="BR60" i="35"/>
  <c r="BS60" i="35"/>
  <c r="BT60" i="35"/>
  <c r="AX61" i="35"/>
  <c r="AY61" i="35"/>
  <c r="AZ61" i="35"/>
  <c r="BA61" i="35"/>
  <c r="BB61" i="35"/>
  <c r="BC61" i="35"/>
  <c r="BD61" i="35"/>
  <c r="BE61" i="35"/>
  <c r="BF61" i="35"/>
  <c r="BG61" i="35"/>
  <c r="BH61" i="35"/>
  <c r="BI61" i="35"/>
  <c r="BJ61" i="35"/>
  <c r="BK61" i="35"/>
  <c r="BL61" i="35"/>
  <c r="BM61" i="35"/>
  <c r="BN61" i="35"/>
  <c r="BO61" i="35"/>
  <c r="BP61" i="35"/>
  <c r="BQ61" i="35"/>
  <c r="BR61" i="35"/>
  <c r="BS61" i="35"/>
  <c r="BT61" i="35"/>
  <c r="AX62" i="35"/>
  <c r="AY62" i="35"/>
  <c r="AZ62" i="35"/>
  <c r="BA62" i="35"/>
  <c r="BB62" i="35"/>
  <c r="BC62" i="35"/>
  <c r="BD62" i="35"/>
  <c r="BE62" i="35"/>
  <c r="BF62" i="35"/>
  <c r="BG62" i="35"/>
  <c r="BH62" i="35"/>
  <c r="BI62" i="35"/>
  <c r="BJ62" i="35"/>
  <c r="BK62" i="35"/>
  <c r="BL62" i="35"/>
  <c r="BM62" i="35"/>
  <c r="BN62" i="35"/>
  <c r="BO62" i="35"/>
  <c r="BP62" i="35"/>
  <c r="BQ62" i="35"/>
  <c r="BR62" i="35"/>
  <c r="BS62" i="35"/>
  <c r="BT62" i="35"/>
  <c r="AX63" i="35"/>
  <c r="AY63" i="35"/>
  <c r="AZ63" i="35"/>
  <c r="BA63" i="35"/>
  <c r="BB63" i="35"/>
  <c r="BC63" i="35"/>
  <c r="BD63" i="35"/>
  <c r="BE63" i="35"/>
  <c r="BF63" i="35"/>
  <c r="BG63" i="35"/>
  <c r="BH63" i="35"/>
  <c r="BI63" i="35"/>
  <c r="BJ63" i="35"/>
  <c r="BK63" i="35"/>
  <c r="BL63" i="35"/>
  <c r="BM63" i="35"/>
  <c r="BN63" i="35"/>
  <c r="BO63" i="35"/>
  <c r="BP63" i="35"/>
  <c r="BQ63" i="35"/>
  <c r="BR63" i="35"/>
  <c r="BS63" i="35"/>
  <c r="BT63" i="35"/>
  <c r="AX64" i="35"/>
  <c r="AY64" i="35"/>
  <c r="AZ64" i="35"/>
  <c r="BA64" i="35"/>
  <c r="BB64" i="35"/>
  <c r="BC64" i="35"/>
  <c r="BD64" i="35"/>
  <c r="BE64" i="35"/>
  <c r="BF64" i="35"/>
  <c r="BG64" i="35"/>
  <c r="BH64" i="35"/>
  <c r="BI64" i="35"/>
  <c r="BJ64" i="35"/>
  <c r="BK64" i="35"/>
  <c r="BL64" i="35"/>
  <c r="BM64" i="35"/>
  <c r="BN64" i="35"/>
  <c r="BO64" i="35"/>
  <c r="BP64" i="35"/>
  <c r="BQ64" i="35"/>
  <c r="BR64" i="35"/>
  <c r="BS64" i="35"/>
  <c r="BT64" i="35"/>
  <c r="AX65" i="35"/>
  <c r="AY65" i="35"/>
  <c r="AZ65" i="35"/>
  <c r="BA65" i="35"/>
  <c r="BB65" i="35"/>
  <c r="BC65" i="35"/>
  <c r="BD65" i="35"/>
  <c r="BE65" i="35"/>
  <c r="BF65" i="35"/>
  <c r="BG65" i="35"/>
  <c r="BH65" i="35"/>
  <c r="BI65" i="35"/>
  <c r="BJ65" i="35"/>
  <c r="BK65" i="35"/>
  <c r="BL65" i="35"/>
  <c r="BM65" i="35"/>
  <c r="BN65" i="35"/>
  <c r="BO65" i="35"/>
  <c r="BP65" i="35"/>
  <c r="BQ65" i="35"/>
  <c r="BR65" i="35"/>
  <c r="BS65" i="35"/>
  <c r="BT65" i="35"/>
  <c r="AX66" i="35"/>
  <c r="AY66" i="35"/>
  <c r="AZ66" i="35"/>
  <c r="BA66" i="35"/>
  <c r="BB66" i="35"/>
  <c r="BC66" i="35"/>
  <c r="BD66" i="35"/>
  <c r="BE66" i="35"/>
  <c r="BF66" i="35"/>
  <c r="BG66" i="35"/>
  <c r="BH66" i="35"/>
  <c r="BI66" i="35"/>
  <c r="BJ66" i="35"/>
  <c r="BK66" i="35"/>
  <c r="BL66" i="35"/>
  <c r="BM66" i="35"/>
  <c r="BN66" i="35"/>
  <c r="BO66" i="35"/>
  <c r="BP66" i="35"/>
  <c r="BQ66" i="35"/>
  <c r="BR66" i="35"/>
  <c r="BS66" i="35"/>
  <c r="BT66" i="35"/>
  <c r="AX67" i="35"/>
  <c r="AY67" i="35"/>
  <c r="AZ67" i="35"/>
  <c r="BA67" i="35"/>
  <c r="BB67" i="35"/>
  <c r="BC67" i="35"/>
  <c r="BD67" i="35"/>
  <c r="BE67" i="35"/>
  <c r="BF67" i="35"/>
  <c r="BG67" i="35"/>
  <c r="BH67" i="35"/>
  <c r="BI67" i="35"/>
  <c r="BJ67" i="35"/>
  <c r="BK67" i="35"/>
  <c r="BL67" i="35"/>
  <c r="BM67" i="35"/>
  <c r="BN67" i="35"/>
  <c r="BO67" i="35"/>
  <c r="BP67" i="35"/>
  <c r="BQ67" i="35"/>
  <c r="BR67" i="35"/>
  <c r="BS67" i="35"/>
  <c r="BT67" i="35"/>
  <c r="AX68" i="35"/>
  <c r="AY68" i="35"/>
  <c r="AZ68" i="35"/>
  <c r="BA68" i="35"/>
  <c r="BB68" i="35"/>
  <c r="BC68" i="35"/>
  <c r="BD68" i="35"/>
  <c r="BE68" i="35"/>
  <c r="BF68" i="35"/>
  <c r="BG68" i="35"/>
  <c r="BH68" i="35"/>
  <c r="BI68" i="35"/>
  <c r="BJ68" i="35"/>
  <c r="BK68" i="35"/>
  <c r="BL68" i="35"/>
  <c r="BM68" i="35"/>
  <c r="BN68" i="35"/>
  <c r="BO68" i="35"/>
  <c r="BP68" i="35"/>
  <c r="BQ68" i="35"/>
  <c r="BR68" i="35"/>
  <c r="BS68" i="35"/>
  <c r="BT68" i="35"/>
  <c r="BT2" i="35"/>
  <c r="BS2" i="35"/>
  <c r="BR2" i="35"/>
  <c r="BQ2" i="35"/>
  <c r="BP2" i="35"/>
  <c r="BO2" i="35"/>
  <c r="BN2" i="35"/>
  <c r="BM2" i="35"/>
  <c r="BL2" i="35"/>
  <c r="BK2" i="35"/>
  <c r="BJ2" i="35"/>
  <c r="BI2" i="35"/>
  <c r="BH2" i="35"/>
  <c r="BG2" i="35"/>
  <c r="BF2" i="35"/>
  <c r="BE2" i="35"/>
  <c r="BD2" i="35"/>
  <c r="BC2" i="35"/>
  <c r="BB2" i="35"/>
  <c r="BA2" i="35"/>
  <c r="AZ2" i="35"/>
  <c r="AY2" i="35"/>
  <c r="AX2" i="35"/>
  <c r="AW3" i="35"/>
  <c r="AW4" i="35"/>
  <c r="AW5" i="35"/>
  <c r="AW6" i="35"/>
  <c r="AW7" i="35"/>
  <c r="AW8" i="35"/>
  <c r="AW9" i="35"/>
  <c r="AW10" i="35"/>
  <c r="AW11" i="35"/>
  <c r="AW12" i="35"/>
  <c r="AW13" i="35"/>
  <c r="AW14" i="35"/>
  <c r="AW15" i="35"/>
  <c r="AW16" i="35"/>
  <c r="AW17" i="35"/>
  <c r="AW18" i="35"/>
  <c r="AW19" i="35"/>
  <c r="AW20" i="35"/>
  <c r="AW21" i="35"/>
  <c r="AW22" i="35"/>
  <c r="AW23" i="35"/>
  <c r="AW24" i="35"/>
  <c r="AW25" i="35"/>
  <c r="AW26" i="35"/>
  <c r="AW27" i="35"/>
  <c r="AW28" i="35"/>
  <c r="AW29" i="35"/>
  <c r="AW30" i="35"/>
  <c r="AW31" i="35"/>
  <c r="AW32" i="35"/>
  <c r="AW33" i="35"/>
  <c r="AW34" i="35"/>
  <c r="AW35" i="35"/>
  <c r="AW36" i="35"/>
  <c r="AW37" i="35"/>
  <c r="AW38" i="35"/>
  <c r="AW39" i="35"/>
  <c r="AW40" i="35"/>
  <c r="AW41" i="35"/>
  <c r="AW42" i="35"/>
  <c r="AW43" i="35"/>
  <c r="AW44" i="35"/>
  <c r="AW45" i="35"/>
  <c r="AW46" i="35"/>
  <c r="AW47" i="35"/>
  <c r="AW48" i="35"/>
  <c r="AW49" i="35"/>
  <c r="AW50" i="35"/>
  <c r="AW51" i="35"/>
  <c r="AW52" i="35"/>
  <c r="AW53" i="35"/>
  <c r="AW54" i="35"/>
  <c r="AW55" i="35"/>
  <c r="AW56" i="35"/>
  <c r="AW57" i="35"/>
  <c r="AW58" i="35"/>
  <c r="AW59" i="35"/>
  <c r="AW60" i="35"/>
  <c r="AW61" i="35"/>
  <c r="AW62" i="35"/>
  <c r="AW63" i="35"/>
  <c r="AW64" i="35"/>
  <c r="AW65" i="35"/>
  <c r="AW66" i="35"/>
  <c r="AW67" i="35"/>
  <c r="AW68" i="35"/>
  <c r="AW2" i="35"/>
  <c r="AV3" i="35"/>
  <c r="AV4" i="35"/>
  <c r="AV5" i="35"/>
  <c r="AV6" i="35"/>
  <c r="AV7" i="35"/>
  <c r="AV8" i="35"/>
  <c r="AV9" i="35"/>
  <c r="AV10" i="35"/>
  <c r="AV11" i="35"/>
  <c r="AV12" i="35"/>
  <c r="AV13" i="35"/>
  <c r="AV14" i="35"/>
  <c r="AV15" i="35"/>
  <c r="AV16" i="35"/>
  <c r="AV17" i="35"/>
  <c r="AV18" i="35"/>
  <c r="AV19" i="35"/>
  <c r="AV20" i="35"/>
  <c r="AV21" i="35"/>
  <c r="AV22" i="35"/>
  <c r="AV23" i="35"/>
  <c r="AV24" i="35"/>
  <c r="AV25" i="35"/>
  <c r="AV26" i="35"/>
  <c r="AV27" i="35"/>
  <c r="AV28" i="35"/>
  <c r="AV29" i="35"/>
  <c r="AV30" i="35"/>
  <c r="AV31" i="35"/>
  <c r="AV32" i="35"/>
  <c r="AV33" i="35"/>
  <c r="AV34" i="35"/>
  <c r="AV35" i="35"/>
  <c r="AV36" i="35"/>
  <c r="AV37" i="35"/>
  <c r="AV38" i="35"/>
  <c r="AV39" i="35"/>
  <c r="AV40" i="35"/>
  <c r="AV41" i="35"/>
  <c r="AV42" i="35"/>
  <c r="AV43" i="35"/>
  <c r="AV44" i="35"/>
  <c r="AV45" i="35"/>
  <c r="AV46" i="35"/>
  <c r="AV47" i="35"/>
  <c r="AV48" i="35"/>
  <c r="AV49" i="35"/>
  <c r="AV50" i="35"/>
  <c r="AV51" i="35"/>
  <c r="AV52" i="35"/>
  <c r="AV53" i="35"/>
  <c r="AV54" i="35"/>
  <c r="AV55" i="35"/>
  <c r="AV56" i="35"/>
  <c r="AV57" i="35"/>
  <c r="AV58" i="35"/>
  <c r="AV59" i="35"/>
  <c r="AV60" i="35"/>
  <c r="AV61" i="35"/>
  <c r="AV62" i="35"/>
  <c r="AV63" i="35"/>
  <c r="AV64" i="35"/>
  <c r="AV65" i="35"/>
  <c r="AV66" i="35"/>
  <c r="AV67" i="35"/>
  <c r="AV68" i="35"/>
  <c r="AV2" i="35"/>
  <c r="AU3" i="35"/>
  <c r="AU4" i="35"/>
  <c r="AU5" i="35"/>
  <c r="AU6" i="35"/>
  <c r="AU7" i="35"/>
  <c r="AU8" i="35"/>
  <c r="AU9" i="35"/>
  <c r="AU10" i="35"/>
  <c r="AU11" i="35"/>
  <c r="AU12" i="35"/>
  <c r="AU13" i="35"/>
  <c r="AU14" i="35"/>
  <c r="AU15" i="35"/>
  <c r="AU16" i="35"/>
  <c r="AU17" i="35"/>
  <c r="AU18" i="35"/>
  <c r="AU19" i="35"/>
  <c r="AU20" i="35"/>
  <c r="AU21" i="35"/>
  <c r="AU22" i="35"/>
  <c r="AU23" i="35"/>
  <c r="AU24" i="35"/>
  <c r="AU25" i="35"/>
  <c r="AU26" i="35"/>
  <c r="AU27" i="35"/>
  <c r="AU28" i="35"/>
  <c r="AU29" i="35"/>
  <c r="AU30" i="35"/>
  <c r="AU31" i="35"/>
  <c r="AU32" i="35"/>
  <c r="AU33" i="35"/>
  <c r="AU34" i="35"/>
  <c r="AU35" i="35"/>
  <c r="AU36" i="35"/>
  <c r="AU37" i="35"/>
  <c r="AU38" i="35"/>
  <c r="AU39" i="35"/>
  <c r="AU40" i="35"/>
  <c r="AU41" i="35"/>
  <c r="AU42" i="35"/>
  <c r="AU43" i="35"/>
  <c r="AU44" i="35"/>
  <c r="AU45" i="35"/>
  <c r="AU46" i="35"/>
  <c r="AU47" i="35"/>
  <c r="AU48" i="35"/>
  <c r="AU49" i="35"/>
  <c r="AU50" i="35"/>
  <c r="AU51" i="35"/>
  <c r="AU52" i="35"/>
  <c r="AU53" i="35"/>
  <c r="AU54" i="35"/>
  <c r="AU55" i="35"/>
  <c r="AU56" i="35"/>
  <c r="AU57" i="35"/>
  <c r="AU58" i="35"/>
  <c r="AU59" i="35"/>
  <c r="AU60" i="35"/>
  <c r="AU61" i="35"/>
  <c r="AU62" i="35"/>
  <c r="AU63" i="35"/>
  <c r="AU64" i="35"/>
  <c r="AU65" i="35"/>
  <c r="AU66" i="35"/>
  <c r="AU67" i="35"/>
  <c r="AU68" i="35"/>
  <c r="AU2" i="35"/>
  <c r="AT3" i="35"/>
  <c r="AT4" i="35"/>
  <c r="AT5" i="35"/>
  <c r="AT6" i="35"/>
  <c r="AT7" i="35"/>
  <c r="AT8" i="35"/>
  <c r="AT9" i="35"/>
  <c r="AT10" i="35"/>
  <c r="AT11" i="35"/>
  <c r="AT12" i="35"/>
  <c r="AT13" i="35"/>
  <c r="AT14" i="35"/>
  <c r="AT15" i="35"/>
  <c r="AT16" i="35"/>
  <c r="AT17" i="35"/>
  <c r="AT18" i="35"/>
  <c r="AT19" i="35"/>
  <c r="AT20" i="35"/>
  <c r="AT21" i="35"/>
  <c r="AT22" i="35"/>
  <c r="AT23" i="35"/>
  <c r="AT24" i="35"/>
  <c r="AT25" i="35"/>
  <c r="AT26" i="35"/>
  <c r="AT27" i="35"/>
  <c r="AT28" i="35"/>
  <c r="AT29" i="35"/>
  <c r="AT30" i="35"/>
  <c r="AT31" i="35"/>
  <c r="AT32" i="35"/>
  <c r="AT33" i="35"/>
  <c r="AT34" i="35"/>
  <c r="AT35" i="35"/>
  <c r="AT36" i="35"/>
  <c r="AT37" i="35"/>
  <c r="AT38" i="35"/>
  <c r="AT39" i="35"/>
  <c r="AT40" i="35"/>
  <c r="AT41" i="35"/>
  <c r="AT42" i="35"/>
  <c r="AT43" i="35"/>
  <c r="AT44" i="35"/>
  <c r="AT45" i="35"/>
  <c r="AT46" i="35"/>
  <c r="AT47" i="35"/>
  <c r="AT48" i="35"/>
  <c r="AT49" i="35"/>
  <c r="AT50" i="35"/>
  <c r="AT51" i="35"/>
  <c r="AT52" i="35"/>
  <c r="AT53" i="35"/>
  <c r="AT54" i="35"/>
  <c r="AT55" i="35"/>
  <c r="AT56" i="35"/>
  <c r="AT57" i="35"/>
  <c r="AT58" i="35"/>
  <c r="AT59" i="35"/>
  <c r="AT60" i="35"/>
  <c r="AT61" i="35"/>
  <c r="AT62" i="35"/>
  <c r="AT63" i="35"/>
  <c r="AT64" i="35"/>
  <c r="AT65" i="35"/>
  <c r="AT66" i="35"/>
  <c r="AT67" i="35"/>
  <c r="AT68" i="35"/>
  <c r="AT2" i="35"/>
  <c r="AS3" i="35"/>
  <c r="AS4" i="35"/>
  <c r="AS5" i="35"/>
  <c r="AS6" i="35"/>
  <c r="AS7" i="35"/>
  <c r="AS8" i="35"/>
  <c r="AS9" i="35"/>
  <c r="AS10" i="35"/>
  <c r="AS11" i="35"/>
  <c r="AS12" i="35"/>
  <c r="AS13" i="35"/>
  <c r="AS14" i="35"/>
  <c r="AS15" i="35"/>
  <c r="AS16" i="35"/>
  <c r="AS17" i="35"/>
  <c r="AS18" i="35"/>
  <c r="AS19" i="35"/>
  <c r="AS20" i="35"/>
  <c r="AS21" i="35"/>
  <c r="AS22" i="35"/>
  <c r="AS23" i="35"/>
  <c r="AS24" i="35"/>
  <c r="AS25" i="35"/>
  <c r="AS26" i="35"/>
  <c r="AS27" i="35"/>
  <c r="AS28" i="35"/>
  <c r="AS29" i="35"/>
  <c r="AS30" i="35"/>
  <c r="AS31" i="35"/>
  <c r="AS32" i="35"/>
  <c r="AS33" i="35"/>
  <c r="AS34" i="35"/>
  <c r="AS35" i="35"/>
  <c r="AS36" i="35"/>
  <c r="AS37" i="35"/>
  <c r="AS38" i="35"/>
  <c r="AS39" i="35"/>
  <c r="AS40" i="35"/>
  <c r="AS41" i="35"/>
  <c r="AS42" i="35"/>
  <c r="AS43" i="35"/>
  <c r="AS44" i="35"/>
  <c r="AS45" i="35"/>
  <c r="AS46" i="35"/>
  <c r="AS47" i="35"/>
  <c r="AS48" i="35"/>
  <c r="AS49" i="35"/>
  <c r="AS50" i="35"/>
  <c r="AS51" i="35"/>
  <c r="AS52" i="35"/>
  <c r="AS53" i="35"/>
  <c r="AS54" i="35"/>
  <c r="AS55" i="35"/>
  <c r="AS56" i="35"/>
  <c r="AS57" i="35"/>
  <c r="AS58" i="35"/>
  <c r="AS59" i="35"/>
  <c r="AS60" i="35"/>
  <c r="AS61" i="35"/>
  <c r="AS62" i="35"/>
  <c r="AS63" i="35"/>
  <c r="AS64" i="35"/>
  <c r="AS65" i="35"/>
  <c r="AS66" i="35"/>
  <c r="AS67" i="35"/>
  <c r="AS68" i="35"/>
  <c r="AS2" i="35"/>
  <c r="AR3" i="35"/>
  <c r="AR4" i="35"/>
  <c r="AR5" i="35"/>
  <c r="AR6" i="35"/>
  <c r="AR7" i="35"/>
  <c r="AR8" i="35"/>
  <c r="AR9" i="35"/>
  <c r="AR10" i="35"/>
  <c r="AR11" i="35"/>
  <c r="AR12" i="35"/>
  <c r="AR13" i="35"/>
  <c r="AR14" i="35"/>
  <c r="AR15" i="35"/>
  <c r="AR16" i="35"/>
  <c r="AR17" i="35"/>
  <c r="AR18" i="35"/>
  <c r="AR19" i="35"/>
  <c r="AR20" i="35"/>
  <c r="AR21" i="35"/>
  <c r="AR22" i="35"/>
  <c r="AR23" i="35"/>
  <c r="AR24" i="35"/>
  <c r="AR25" i="35"/>
  <c r="AR26" i="35"/>
  <c r="AR27" i="35"/>
  <c r="AR28" i="35"/>
  <c r="AR29" i="35"/>
  <c r="AR30" i="35"/>
  <c r="AR31" i="35"/>
  <c r="AR32" i="35"/>
  <c r="AR33" i="35"/>
  <c r="AR34" i="35"/>
  <c r="AR35" i="35"/>
  <c r="AR36" i="35"/>
  <c r="AR37" i="35"/>
  <c r="AR38" i="35"/>
  <c r="AR39" i="35"/>
  <c r="AR40" i="35"/>
  <c r="AR41" i="35"/>
  <c r="AR42" i="35"/>
  <c r="AR43" i="35"/>
  <c r="AR44" i="35"/>
  <c r="AR45" i="35"/>
  <c r="AR46" i="35"/>
  <c r="AR47" i="35"/>
  <c r="AR48" i="35"/>
  <c r="AR49" i="35"/>
  <c r="AR50" i="35"/>
  <c r="AR51" i="35"/>
  <c r="AR52" i="35"/>
  <c r="AR53" i="35"/>
  <c r="AR54" i="35"/>
  <c r="AR55" i="35"/>
  <c r="AR56" i="35"/>
  <c r="AR57" i="35"/>
  <c r="AR58" i="35"/>
  <c r="AR59" i="35"/>
  <c r="AR60" i="35"/>
  <c r="AR61" i="35"/>
  <c r="AR62" i="35"/>
  <c r="AR63" i="35"/>
  <c r="AR64" i="35"/>
  <c r="AR65" i="35"/>
  <c r="AR66" i="35"/>
  <c r="AR67" i="35"/>
  <c r="AR68" i="35"/>
  <c r="AR2" i="35"/>
  <c r="AQ3" i="35"/>
  <c r="AQ4" i="35"/>
  <c r="AQ5" i="35"/>
  <c r="AQ6" i="35"/>
  <c r="AQ7" i="35"/>
  <c r="AQ8" i="35"/>
  <c r="AQ9" i="35"/>
  <c r="AQ10" i="35"/>
  <c r="AQ11" i="35"/>
  <c r="AQ12" i="35"/>
  <c r="AQ13" i="35"/>
  <c r="AQ14" i="35"/>
  <c r="AQ15" i="35"/>
  <c r="AQ16" i="35"/>
  <c r="AQ17" i="35"/>
  <c r="AQ18" i="35"/>
  <c r="AQ19" i="35"/>
  <c r="AQ20" i="35"/>
  <c r="AQ21" i="35"/>
  <c r="AQ22" i="35"/>
  <c r="AQ23" i="35"/>
  <c r="AQ24" i="35"/>
  <c r="AQ25" i="35"/>
  <c r="AQ26" i="35"/>
  <c r="AQ27" i="35"/>
  <c r="AQ28" i="35"/>
  <c r="AQ29" i="35"/>
  <c r="AQ30" i="35"/>
  <c r="AQ31" i="35"/>
  <c r="AQ32" i="35"/>
  <c r="AQ33" i="35"/>
  <c r="AQ34" i="35"/>
  <c r="AQ35" i="35"/>
  <c r="AQ36" i="35"/>
  <c r="AQ37" i="35"/>
  <c r="AQ38" i="35"/>
  <c r="AQ39" i="35"/>
  <c r="AQ40" i="35"/>
  <c r="AQ41" i="35"/>
  <c r="AQ42" i="35"/>
  <c r="AQ43" i="35"/>
  <c r="AQ44" i="35"/>
  <c r="AQ45" i="35"/>
  <c r="AQ46" i="35"/>
  <c r="AQ47" i="35"/>
  <c r="AQ48" i="35"/>
  <c r="AQ49" i="35"/>
  <c r="AQ50" i="35"/>
  <c r="AQ51" i="35"/>
  <c r="AQ52" i="35"/>
  <c r="AQ53" i="35"/>
  <c r="AQ54" i="35"/>
  <c r="AQ55" i="35"/>
  <c r="AQ56" i="35"/>
  <c r="AQ57" i="35"/>
  <c r="AQ58" i="35"/>
  <c r="AQ59" i="35"/>
  <c r="AQ60" i="35"/>
  <c r="AQ61" i="35"/>
  <c r="AQ62" i="35"/>
  <c r="AQ63" i="35"/>
  <c r="AQ64" i="35"/>
  <c r="AQ65" i="35"/>
  <c r="AQ66" i="35"/>
  <c r="AQ67" i="35"/>
  <c r="AQ68" i="35"/>
  <c r="AQ2" i="35"/>
  <c r="AP3" i="35"/>
  <c r="AP4" i="35"/>
  <c r="AP5" i="35"/>
  <c r="AP6" i="35"/>
  <c r="AP7" i="35"/>
  <c r="AP8" i="35"/>
  <c r="AP9" i="35"/>
  <c r="AP10" i="35"/>
  <c r="AP11" i="35"/>
  <c r="AP12" i="35"/>
  <c r="AP13" i="35"/>
  <c r="AP14" i="35"/>
  <c r="AP15" i="35"/>
  <c r="AP16" i="35"/>
  <c r="AP17" i="35"/>
  <c r="AP18" i="35"/>
  <c r="AP19" i="35"/>
  <c r="AP20" i="35"/>
  <c r="AP21" i="35"/>
  <c r="AP22" i="35"/>
  <c r="AP23" i="35"/>
  <c r="AP24" i="35"/>
  <c r="AP25" i="35"/>
  <c r="AP26" i="35"/>
  <c r="AP27" i="35"/>
  <c r="AP28" i="35"/>
  <c r="AP29" i="35"/>
  <c r="AP30" i="35"/>
  <c r="AP31" i="35"/>
  <c r="AP32" i="35"/>
  <c r="AP33" i="35"/>
  <c r="AP34" i="35"/>
  <c r="AP35" i="35"/>
  <c r="AP36" i="35"/>
  <c r="AP37" i="35"/>
  <c r="AP38" i="35"/>
  <c r="AP39" i="35"/>
  <c r="AP40" i="35"/>
  <c r="AP41" i="35"/>
  <c r="AP42" i="35"/>
  <c r="AP43" i="35"/>
  <c r="AP44" i="35"/>
  <c r="AP45" i="35"/>
  <c r="AP46" i="35"/>
  <c r="AP47" i="35"/>
  <c r="AP48" i="35"/>
  <c r="AP49" i="35"/>
  <c r="AP50" i="35"/>
  <c r="AP51" i="35"/>
  <c r="AP52" i="35"/>
  <c r="AP53" i="35"/>
  <c r="AP54" i="35"/>
  <c r="AP55" i="35"/>
  <c r="AP56" i="35"/>
  <c r="AP57" i="35"/>
  <c r="AP58" i="35"/>
  <c r="AP59" i="35"/>
  <c r="AP60" i="35"/>
  <c r="AP61" i="35"/>
  <c r="AP62" i="35"/>
  <c r="AP63" i="35"/>
  <c r="AP64" i="35"/>
  <c r="AP65" i="35"/>
  <c r="AP66" i="35"/>
  <c r="AP67" i="35"/>
  <c r="AP68" i="35"/>
  <c r="AP2" i="35"/>
  <c r="AO3" i="35"/>
  <c r="AO4" i="35"/>
  <c r="AO5" i="35"/>
  <c r="AO6" i="35"/>
  <c r="AO7" i="35"/>
  <c r="AO8" i="35"/>
  <c r="AO9" i="35"/>
  <c r="AO10" i="35"/>
  <c r="AO11" i="35"/>
  <c r="AO12" i="35"/>
  <c r="AO13" i="35"/>
  <c r="AO14" i="35"/>
  <c r="AO15" i="35"/>
  <c r="AO16" i="35"/>
  <c r="AO17" i="35"/>
  <c r="AO18" i="35"/>
  <c r="AO19" i="35"/>
  <c r="AO20" i="35"/>
  <c r="AO21" i="35"/>
  <c r="AO22" i="35"/>
  <c r="AO23" i="35"/>
  <c r="AO24" i="35"/>
  <c r="AO25" i="35"/>
  <c r="AO26" i="35"/>
  <c r="AO27" i="35"/>
  <c r="AO28" i="35"/>
  <c r="AO29" i="35"/>
  <c r="AO30" i="35"/>
  <c r="AO31" i="35"/>
  <c r="AO32" i="35"/>
  <c r="AO33" i="35"/>
  <c r="AO34" i="35"/>
  <c r="AO35" i="35"/>
  <c r="AO36" i="35"/>
  <c r="AO37" i="35"/>
  <c r="AO38" i="35"/>
  <c r="AO39" i="35"/>
  <c r="AO40" i="35"/>
  <c r="AO41" i="35"/>
  <c r="AO42" i="35"/>
  <c r="AO43" i="35"/>
  <c r="AO44" i="35"/>
  <c r="AO45" i="35"/>
  <c r="AO46" i="35"/>
  <c r="AO47" i="35"/>
  <c r="AO48" i="35"/>
  <c r="AO49" i="35"/>
  <c r="AO50" i="35"/>
  <c r="AO51" i="35"/>
  <c r="AO52" i="35"/>
  <c r="AO53" i="35"/>
  <c r="AO54" i="35"/>
  <c r="AO55" i="35"/>
  <c r="AO56" i="35"/>
  <c r="AO57" i="35"/>
  <c r="AO58" i="35"/>
  <c r="AO59" i="35"/>
  <c r="AO60" i="35"/>
  <c r="AO61" i="35"/>
  <c r="AO62" i="35"/>
  <c r="AO63" i="35"/>
  <c r="AO64" i="35"/>
  <c r="AO65" i="35"/>
  <c r="AO66" i="35"/>
  <c r="AO67" i="35"/>
  <c r="AO68" i="35"/>
  <c r="AO2" i="35"/>
  <c r="AN3" i="35"/>
  <c r="AN4" i="35"/>
  <c r="AN5" i="35"/>
  <c r="AN6" i="35"/>
  <c r="AN7" i="35"/>
  <c r="AN8" i="35"/>
  <c r="AN9" i="35"/>
  <c r="AN10" i="35"/>
  <c r="AN11" i="35"/>
  <c r="AN12" i="35"/>
  <c r="AN13" i="35"/>
  <c r="AN14" i="35"/>
  <c r="AN15" i="35"/>
  <c r="AN16" i="35"/>
  <c r="AN17" i="35"/>
  <c r="AN18" i="35"/>
  <c r="AN19" i="35"/>
  <c r="AN20" i="35"/>
  <c r="AN21" i="35"/>
  <c r="AN22" i="35"/>
  <c r="AN23" i="35"/>
  <c r="AN24" i="35"/>
  <c r="AN25" i="35"/>
  <c r="AN26" i="35"/>
  <c r="AN27" i="35"/>
  <c r="AN28" i="35"/>
  <c r="AN29" i="35"/>
  <c r="AN30" i="35"/>
  <c r="AN31" i="35"/>
  <c r="AN32" i="35"/>
  <c r="AN33" i="35"/>
  <c r="AN34" i="35"/>
  <c r="AN35" i="35"/>
  <c r="AN36" i="35"/>
  <c r="AN37" i="35"/>
  <c r="AN38" i="35"/>
  <c r="AN39" i="35"/>
  <c r="AN40" i="35"/>
  <c r="AN41" i="35"/>
  <c r="AN42" i="35"/>
  <c r="AN43" i="35"/>
  <c r="AN44" i="35"/>
  <c r="AN45" i="35"/>
  <c r="AN46" i="35"/>
  <c r="AN47" i="35"/>
  <c r="AN48" i="35"/>
  <c r="AN49" i="35"/>
  <c r="AN50" i="35"/>
  <c r="AN51" i="35"/>
  <c r="AN52" i="35"/>
  <c r="AN53" i="35"/>
  <c r="AN54" i="35"/>
  <c r="AN55" i="35"/>
  <c r="AN56" i="35"/>
  <c r="AN57" i="35"/>
  <c r="AN58" i="35"/>
  <c r="AN59" i="35"/>
  <c r="AN60" i="35"/>
  <c r="AN61" i="35"/>
  <c r="AN62" i="35"/>
  <c r="AN63" i="35"/>
  <c r="AN64" i="35"/>
  <c r="AN65" i="35"/>
  <c r="AN66" i="35"/>
  <c r="AN67" i="35"/>
  <c r="AN68" i="35"/>
  <c r="AN2" i="35"/>
  <c r="AM3" i="35"/>
  <c r="AM4" i="35"/>
  <c r="AM5" i="35"/>
  <c r="AM6" i="35"/>
  <c r="AM7" i="35"/>
  <c r="AM8" i="35"/>
  <c r="AM9" i="35"/>
  <c r="AM10" i="35"/>
  <c r="AM11" i="35"/>
  <c r="AM12" i="35"/>
  <c r="AM13" i="35"/>
  <c r="AM14" i="35"/>
  <c r="AM15" i="35"/>
  <c r="AM16" i="35"/>
  <c r="AM17" i="35"/>
  <c r="AM18" i="35"/>
  <c r="AM19" i="35"/>
  <c r="AM20" i="35"/>
  <c r="AM21" i="35"/>
  <c r="AM22" i="35"/>
  <c r="AM23" i="35"/>
  <c r="AM24" i="35"/>
  <c r="AM25" i="35"/>
  <c r="AM26" i="35"/>
  <c r="AM27" i="35"/>
  <c r="AM28" i="35"/>
  <c r="AM29" i="35"/>
  <c r="AM30" i="35"/>
  <c r="AM31" i="35"/>
  <c r="AM32" i="35"/>
  <c r="AM33" i="35"/>
  <c r="AM34" i="35"/>
  <c r="AM35" i="35"/>
  <c r="AM36" i="35"/>
  <c r="AM37" i="35"/>
  <c r="AM38" i="35"/>
  <c r="AM39" i="35"/>
  <c r="AM40" i="35"/>
  <c r="AM41" i="35"/>
  <c r="AM42" i="35"/>
  <c r="AM43" i="35"/>
  <c r="AM44" i="35"/>
  <c r="AM45" i="35"/>
  <c r="AM46" i="35"/>
  <c r="AM47" i="35"/>
  <c r="AM48" i="35"/>
  <c r="AM49" i="35"/>
  <c r="AM50" i="35"/>
  <c r="AM51" i="35"/>
  <c r="AM52" i="35"/>
  <c r="AM53" i="35"/>
  <c r="AM54" i="35"/>
  <c r="AM55" i="35"/>
  <c r="AM56" i="35"/>
  <c r="AM57" i="35"/>
  <c r="AM58" i="35"/>
  <c r="AM59" i="35"/>
  <c r="AM60" i="35"/>
  <c r="AM61" i="35"/>
  <c r="AM62" i="35"/>
  <c r="AM63" i="35"/>
  <c r="AM64" i="35"/>
  <c r="AM65" i="35"/>
  <c r="AM66" i="35"/>
  <c r="AM67" i="35"/>
  <c r="AM68" i="35"/>
  <c r="AM2" i="35"/>
  <c r="AL3" i="35"/>
  <c r="AL4" i="35"/>
  <c r="AL5" i="35"/>
  <c r="AL6" i="35"/>
  <c r="AL7" i="35"/>
  <c r="AL8" i="35"/>
  <c r="AL9" i="35"/>
  <c r="AL10" i="35"/>
  <c r="AL11" i="35"/>
  <c r="AL12" i="35"/>
  <c r="AL13" i="35"/>
  <c r="AL14" i="35"/>
  <c r="AL15" i="35"/>
  <c r="AL16" i="35"/>
  <c r="AL17" i="35"/>
  <c r="AL18" i="35"/>
  <c r="AL19" i="35"/>
  <c r="AL20" i="35"/>
  <c r="AL21" i="35"/>
  <c r="AL22" i="35"/>
  <c r="AL23" i="35"/>
  <c r="AL24" i="35"/>
  <c r="AL25" i="35"/>
  <c r="AL26" i="35"/>
  <c r="AL27" i="35"/>
  <c r="AL28" i="35"/>
  <c r="AL29" i="35"/>
  <c r="AL30" i="35"/>
  <c r="AL31" i="35"/>
  <c r="AL32" i="35"/>
  <c r="AL33" i="35"/>
  <c r="AL34" i="35"/>
  <c r="AL35" i="35"/>
  <c r="AL36" i="35"/>
  <c r="AL37" i="35"/>
  <c r="AL38" i="35"/>
  <c r="AL39" i="35"/>
  <c r="AL40" i="35"/>
  <c r="AL41" i="35"/>
  <c r="AL42" i="35"/>
  <c r="AL43" i="35"/>
  <c r="AL44" i="35"/>
  <c r="AL45" i="35"/>
  <c r="AL46" i="35"/>
  <c r="AL47" i="35"/>
  <c r="AL48" i="35"/>
  <c r="AL49" i="35"/>
  <c r="AL50" i="35"/>
  <c r="AL51" i="35"/>
  <c r="AL52" i="35"/>
  <c r="AL53" i="35"/>
  <c r="AL54" i="35"/>
  <c r="AL55" i="35"/>
  <c r="AL56" i="35"/>
  <c r="AL57" i="35"/>
  <c r="AL58" i="35"/>
  <c r="AL59" i="35"/>
  <c r="AL60" i="35"/>
  <c r="AL61" i="35"/>
  <c r="AL62" i="35"/>
  <c r="AL63" i="35"/>
  <c r="AL64" i="35"/>
  <c r="AL65" i="35"/>
  <c r="AL66" i="35"/>
  <c r="AL67" i="35"/>
  <c r="AL68" i="35"/>
  <c r="AL2" i="35"/>
  <c r="AK3" i="35"/>
  <c r="AK4" i="35"/>
  <c r="AK5" i="35"/>
  <c r="AK6" i="35"/>
  <c r="AK7" i="35"/>
  <c r="AK8" i="35"/>
  <c r="AK9" i="35"/>
  <c r="AK10" i="35"/>
  <c r="AK11" i="35"/>
  <c r="AK12" i="35"/>
  <c r="AK13" i="35"/>
  <c r="AK14" i="35"/>
  <c r="AK15" i="35"/>
  <c r="AK16" i="35"/>
  <c r="AK17" i="35"/>
  <c r="AK18" i="35"/>
  <c r="AK19" i="35"/>
  <c r="AK20" i="35"/>
  <c r="AK21" i="35"/>
  <c r="AK22" i="35"/>
  <c r="AK23" i="35"/>
  <c r="AK24" i="35"/>
  <c r="AK25" i="35"/>
  <c r="AK26" i="35"/>
  <c r="AK27" i="35"/>
  <c r="AK28" i="35"/>
  <c r="AK29" i="35"/>
  <c r="AK30" i="35"/>
  <c r="AK31" i="35"/>
  <c r="AK32" i="35"/>
  <c r="AK33" i="35"/>
  <c r="AK34" i="35"/>
  <c r="AK35" i="35"/>
  <c r="AK36" i="35"/>
  <c r="AK37" i="35"/>
  <c r="AK38" i="35"/>
  <c r="AK39" i="35"/>
  <c r="AK40" i="35"/>
  <c r="AK41" i="35"/>
  <c r="AK42" i="35"/>
  <c r="AK43" i="35"/>
  <c r="AK44" i="35"/>
  <c r="AK45" i="35"/>
  <c r="AK46" i="35"/>
  <c r="AK47" i="35"/>
  <c r="AK48" i="35"/>
  <c r="AK49" i="35"/>
  <c r="AK50" i="35"/>
  <c r="AK51" i="35"/>
  <c r="AK52" i="35"/>
  <c r="AK53" i="35"/>
  <c r="AK54" i="35"/>
  <c r="AK55" i="35"/>
  <c r="AK56" i="35"/>
  <c r="AK57" i="35"/>
  <c r="AK58" i="35"/>
  <c r="AK59" i="35"/>
  <c r="AK60" i="35"/>
  <c r="AK61" i="35"/>
  <c r="AK62" i="35"/>
  <c r="AK63" i="35"/>
  <c r="AK64" i="35"/>
  <c r="AK65" i="35"/>
  <c r="AK66" i="35"/>
  <c r="AK67" i="35"/>
  <c r="AK68" i="35"/>
  <c r="AK2" i="35"/>
  <c r="AJ3" i="35"/>
  <c r="AJ4" i="35"/>
  <c r="AJ5" i="35"/>
  <c r="AJ6" i="35"/>
  <c r="AJ7" i="35"/>
  <c r="AJ8" i="35"/>
  <c r="AJ9" i="35"/>
  <c r="AJ10" i="35"/>
  <c r="AJ11" i="35"/>
  <c r="AJ12" i="35"/>
  <c r="AJ13" i="35"/>
  <c r="AJ14" i="35"/>
  <c r="AJ15" i="35"/>
  <c r="AJ16" i="35"/>
  <c r="AJ17" i="35"/>
  <c r="AJ18" i="35"/>
  <c r="AJ19" i="35"/>
  <c r="AJ20" i="35"/>
  <c r="AJ21" i="35"/>
  <c r="AJ22" i="35"/>
  <c r="AJ23" i="35"/>
  <c r="AJ24" i="35"/>
  <c r="AJ25" i="35"/>
  <c r="AJ26" i="35"/>
  <c r="AJ27" i="35"/>
  <c r="AJ28" i="35"/>
  <c r="AJ29" i="35"/>
  <c r="AJ30" i="35"/>
  <c r="AJ31" i="35"/>
  <c r="AJ32" i="35"/>
  <c r="AJ33" i="35"/>
  <c r="AJ34" i="35"/>
  <c r="AJ35" i="35"/>
  <c r="AJ36" i="35"/>
  <c r="AJ37" i="35"/>
  <c r="AJ38" i="35"/>
  <c r="AJ39" i="35"/>
  <c r="AJ40" i="35"/>
  <c r="AJ41" i="35"/>
  <c r="AJ42" i="35"/>
  <c r="AJ43" i="35"/>
  <c r="AJ44" i="35"/>
  <c r="AJ45" i="35"/>
  <c r="AJ46" i="35"/>
  <c r="AJ47" i="35"/>
  <c r="AJ48" i="35"/>
  <c r="AJ49" i="35"/>
  <c r="AJ50" i="35"/>
  <c r="AJ51" i="35"/>
  <c r="AJ52" i="35"/>
  <c r="AJ53" i="35"/>
  <c r="AJ54" i="35"/>
  <c r="AJ55" i="35"/>
  <c r="AJ56" i="35"/>
  <c r="AJ57" i="35"/>
  <c r="AJ58" i="35"/>
  <c r="AJ59" i="35"/>
  <c r="AJ60" i="35"/>
  <c r="AJ61" i="35"/>
  <c r="AJ62" i="35"/>
  <c r="AJ63" i="35"/>
  <c r="AJ64" i="35"/>
  <c r="AJ65" i="35"/>
  <c r="AJ66" i="35"/>
  <c r="AJ67" i="35"/>
  <c r="AJ68" i="35"/>
  <c r="AJ2" i="35"/>
  <c r="AI3" i="35"/>
  <c r="AI4" i="35"/>
  <c r="AI5" i="35"/>
  <c r="AI6" i="35"/>
  <c r="AI7" i="35"/>
  <c r="AI8" i="35"/>
  <c r="AI9" i="35"/>
  <c r="AI10" i="35"/>
  <c r="AI11" i="35"/>
  <c r="AI12" i="35"/>
  <c r="AI13" i="35"/>
  <c r="AI14" i="35"/>
  <c r="AI15" i="35"/>
  <c r="AI16" i="35"/>
  <c r="AI17" i="35"/>
  <c r="AI18" i="35"/>
  <c r="AI19" i="35"/>
  <c r="AI20" i="35"/>
  <c r="AI21" i="35"/>
  <c r="AI22" i="35"/>
  <c r="AI23" i="35"/>
  <c r="AI24" i="35"/>
  <c r="AI25" i="35"/>
  <c r="AI26" i="35"/>
  <c r="AI27" i="35"/>
  <c r="AI28" i="35"/>
  <c r="AI29" i="35"/>
  <c r="AI30" i="35"/>
  <c r="AI31" i="35"/>
  <c r="AI32" i="35"/>
  <c r="AI33" i="35"/>
  <c r="AI34" i="35"/>
  <c r="AI35" i="35"/>
  <c r="AI36" i="35"/>
  <c r="AI37" i="35"/>
  <c r="AI38" i="35"/>
  <c r="AI39" i="35"/>
  <c r="AI40" i="35"/>
  <c r="AI41" i="35"/>
  <c r="AI42" i="35"/>
  <c r="AI43" i="35"/>
  <c r="AI44" i="35"/>
  <c r="AI45" i="35"/>
  <c r="AI46" i="35"/>
  <c r="AI47" i="35"/>
  <c r="AI48" i="35"/>
  <c r="AI49" i="35"/>
  <c r="AI50" i="35"/>
  <c r="AI51" i="35"/>
  <c r="AI52" i="35"/>
  <c r="AI53" i="35"/>
  <c r="AI54" i="35"/>
  <c r="AI55" i="35"/>
  <c r="AI56" i="35"/>
  <c r="AI57" i="35"/>
  <c r="AI58" i="35"/>
  <c r="AI59" i="35"/>
  <c r="AI60" i="35"/>
  <c r="AI61" i="35"/>
  <c r="AI62" i="35"/>
  <c r="AI63" i="35"/>
  <c r="AI64" i="35"/>
  <c r="AI65" i="35"/>
  <c r="AI66" i="35"/>
  <c r="AI67" i="35"/>
  <c r="AI68" i="35"/>
  <c r="AI2" i="35"/>
  <c r="AH3" i="35"/>
  <c r="AH4" i="35"/>
  <c r="AH5" i="35"/>
  <c r="AH6" i="35"/>
  <c r="AH7" i="35"/>
  <c r="AH8" i="35"/>
  <c r="AH9" i="35"/>
  <c r="AH10" i="35"/>
  <c r="AH11" i="35"/>
  <c r="AH12" i="35"/>
  <c r="AH13" i="35"/>
  <c r="AH14" i="35"/>
  <c r="AH15" i="35"/>
  <c r="AH16" i="35"/>
  <c r="AH17" i="35"/>
  <c r="AH18" i="35"/>
  <c r="AH19" i="35"/>
  <c r="AH20" i="35"/>
  <c r="AH21" i="35"/>
  <c r="AH22" i="35"/>
  <c r="AH23" i="35"/>
  <c r="AH24" i="35"/>
  <c r="AH25" i="35"/>
  <c r="AH26" i="35"/>
  <c r="AH27" i="35"/>
  <c r="AH28" i="35"/>
  <c r="AH29" i="35"/>
  <c r="AH30" i="35"/>
  <c r="AH31" i="35"/>
  <c r="AH32" i="35"/>
  <c r="AH33" i="35"/>
  <c r="AH34" i="35"/>
  <c r="AH35" i="35"/>
  <c r="AH36" i="35"/>
  <c r="AH37" i="35"/>
  <c r="AH38" i="35"/>
  <c r="AH39" i="35"/>
  <c r="AH40" i="35"/>
  <c r="AH41" i="35"/>
  <c r="AH42" i="35"/>
  <c r="AH43" i="35"/>
  <c r="AH44" i="35"/>
  <c r="AH45" i="35"/>
  <c r="AH46" i="35"/>
  <c r="AH47" i="35"/>
  <c r="AH48" i="35"/>
  <c r="AH49" i="35"/>
  <c r="AH50" i="35"/>
  <c r="AH51" i="35"/>
  <c r="AH52" i="35"/>
  <c r="AH53" i="35"/>
  <c r="AH54" i="35"/>
  <c r="AH55" i="35"/>
  <c r="AH56" i="35"/>
  <c r="AH57" i="35"/>
  <c r="AH58" i="35"/>
  <c r="AH59" i="35"/>
  <c r="AH60" i="35"/>
  <c r="AH61" i="35"/>
  <c r="AH62" i="35"/>
  <c r="AH63" i="35"/>
  <c r="AH64" i="35"/>
  <c r="AH65" i="35"/>
  <c r="AH66" i="35"/>
  <c r="AH67" i="35"/>
  <c r="AH68" i="35"/>
  <c r="AH2" i="35"/>
  <c r="AG3" i="35"/>
  <c r="AG4" i="35"/>
  <c r="AG5" i="35"/>
  <c r="AG6" i="35"/>
  <c r="AG7" i="35"/>
  <c r="AG8" i="35"/>
  <c r="AG9" i="35"/>
  <c r="AG10" i="35"/>
  <c r="AG11" i="35"/>
  <c r="AG12" i="35"/>
  <c r="AG13" i="35"/>
  <c r="AG14" i="35"/>
  <c r="AG15" i="35"/>
  <c r="AG16" i="35"/>
  <c r="AG17" i="35"/>
  <c r="AG18" i="35"/>
  <c r="AG19" i="35"/>
  <c r="AG20" i="35"/>
  <c r="AG21" i="35"/>
  <c r="AG22" i="35"/>
  <c r="AG23" i="35"/>
  <c r="AG24" i="35"/>
  <c r="AG25" i="35"/>
  <c r="AG26" i="35"/>
  <c r="AG27" i="35"/>
  <c r="AG28" i="35"/>
  <c r="AG29" i="35"/>
  <c r="AG30" i="35"/>
  <c r="AG31" i="35"/>
  <c r="AG32" i="35"/>
  <c r="AG33" i="35"/>
  <c r="AG34" i="35"/>
  <c r="AG35" i="35"/>
  <c r="AG36" i="35"/>
  <c r="AG37" i="35"/>
  <c r="AG38" i="35"/>
  <c r="AG39" i="35"/>
  <c r="AG40" i="35"/>
  <c r="AG41" i="35"/>
  <c r="AG42" i="35"/>
  <c r="AG43" i="35"/>
  <c r="AG44" i="35"/>
  <c r="AG45" i="35"/>
  <c r="AG46" i="35"/>
  <c r="AG47" i="35"/>
  <c r="AG48" i="35"/>
  <c r="AG49" i="35"/>
  <c r="AG50" i="35"/>
  <c r="AG51" i="35"/>
  <c r="AG52" i="35"/>
  <c r="AG53" i="35"/>
  <c r="AG54" i="35"/>
  <c r="AG55" i="35"/>
  <c r="AG56" i="35"/>
  <c r="AG57" i="35"/>
  <c r="AG58" i="35"/>
  <c r="AG59" i="35"/>
  <c r="AG60" i="35"/>
  <c r="AG61" i="35"/>
  <c r="AG62" i="35"/>
  <c r="AG63" i="35"/>
  <c r="AG64" i="35"/>
  <c r="AG65" i="35"/>
  <c r="AG66" i="35"/>
  <c r="AG67" i="35"/>
  <c r="AG68" i="35"/>
  <c r="AG2" i="35"/>
  <c r="AF3" i="35"/>
  <c r="AF4" i="35"/>
  <c r="AF5" i="35"/>
  <c r="AF6" i="35"/>
  <c r="AF7" i="35"/>
  <c r="AF8" i="35"/>
  <c r="AF9" i="35"/>
  <c r="AF10" i="35"/>
  <c r="AF11" i="35"/>
  <c r="AF12" i="35"/>
  <c r="AF13" i="35"/>
  <c r="AF14" i="35"/>
  <c r="AF15" i="35"/>
  <c r="AF16" i="35"/>
  <c r="AF17" i="35"/>
  <c r="AF18" i="35"/>
  <c r="AF19" i="35"/>
  <c r="AF20" i="35"/>
  <c r="AF21" i="35"/>
  <c r="AF22" i="35"/>
  <c r="AF23" i="35"/>
  <c r="AF24" i="35"/>
  <c r="AF25" i="35"/>
  <c r="AF26" i="35"/>
  <c r="AF27" i="35"/>
  <c r="AF28" i="35"/>
  <c r="AF29" i="35"/>
  <c r="AF30" i="35"/>
  <c r="AF31" i="35"/>
  <c r="AF32" i="35"/>
  <c r="AF33" i="35"/>
  <c r="AF34" i="35"/>
  <c r="AF35" i="35"/>
  <c r="AF36" i="35"/>
  <c r="AF37" i="35"/>
  <c r="AF38" i="35"/>
  <c r="AF39" i="35"/>
  <c r="AF40" i="35"/>
  <c r="AF41" i="35"/>
  <c r="AF42" i="35"/>
  <c r="AF43" i="35"/>
  <c r="AF44" i="35"/>
  <c r="AF45" i="35"/>
  <c r="AF46" i="35"/>
  <c r="AF47" i="35"/>
  <c r="AF48" i="35"/>
  <c r="AF49" i="35"/>
  <c r="AF50" i="35"/>
  <c r="AF51" i="35"/>
  <c r="AF52" i="35"/>
  <c r="AF53" i="35"/>
  <c r="AF54" i="35"/>
  <c r="AF55" i="35"/>
  <c r="AF56" i="35"/>
  <c r="AF57" i="35"/>
  <c r="AF58" i="35"/>
  <c r="AF59" i="35"/>
  <c r="AF60" i="35"/>
  <c r="AF61" i="35"/>
  <c r="AF62" i="35"/>
  <c r="AF63" i="35"/>
  <c r="AF64" i="35"/>
  <c r="AF65" i="35"/>
  <c r="AF66" i="35"/>
  <c r="AF67" i="35"/>
  <c r="AF68" i="35"/>
  <c r="AF2" i="35"/>
  <c r="AE3" i="35"/>
  <c r="AE4" i="35"/>
  <c r="AE5" i="35"/>
  <c r="AE6" i="35"/>
  <c r="AE7" i="35"/>
  <c r="AE8" i="35"/>
  <c r="AE9" i="35"/>
  <c r="AE10" i="35"/>
  <c r="AE11" i="35"/>
  <c r="AE12" i="35"/>
  <c r="AE13" i="35"/>
  <c r="AE14" i="35"/>
  <c r="AE15" i="35"/>
  <c r="AE16" i="35"/>
  <c r="AE17" i="35"/>
  <c r="AE18" i="35"/>
  <c r="AE19" i="35"/>
  <c r="AE20" i="35"/>
  <c r="AE21" i="35"/>
  <c r="AE22" i="35"/>
  <c r="AE23" i="35"/>
  <c r="AE24" i="35"/>
  <c r="AE25" i="35"/>
  <c r="AE26" i="35"/>
  <c r="AE27" i="35"/>
  <c r="AE28" i="35"/>
  <c r="AE29" i="35"/>
  <c r="AE30" i="35"/>
  <c r="AE31" i="35"/>
  <c r="AE32" i="35"/>
  <c r="AE33" i="35"/>
  <c r="AE34" i="35"/>
  <c r="AE35" i="35"/>
  <c r="AE36" i="35"/>
  <c r="AE37" i="35"/>
  <c r="AE38" i="35"/>
  <c r="AE39" i="35"/>
  <c r="AE40" i="35"/>
  <c r="AE41" i="35"/>
  <c r="AE42" i="35"/>
  <c r="AE43" i="35"/>
  <c r="AE44" i="35"/>
  <c r="AE45" i="35"/>
  <c r="AE46" i="35"/>
  <c r="AE47" i="35"/>
  <c r="AE48" i="35"/>
  <c r="AE49" i="35"/>
  <c r="AE50" i="35"/>
  <c r="AE51" i="35"/>
  <c r="AE52" i="35"/>
  <c r="AE53" i="35"/>
  <c r="AE54" i="35"/>
  <c r="AE55" i="35"/>
  <c r="AE56" i="35"/>
  <c r="AE57" i="35"/>
  <c r="AE58" i="35"/>
  <c r="AE59" i="35"/>
  <c r="AE60" i="35"/>
  <c r="AE61" i="35"/>
  <c r="AE62" i="35"/>
  <c r="AE63" i="35"/>
  <c r="AE64" i="35"/>
  <c r="AE65" i="35"/>
  <c r="AE66" i="35"/>
  <c r="AE67" i="35"/>
  <c r="AE68" i="35"/>
  <c r="AE2" i="35"/>
  <c r="AD3" i="35"/>
  <c r="AD4" i="35"/>
  <c r="AD5" i="35"/>
  <c r="AD6" i="35"/>
  <c r="AD7" i="35"/>
  <c r="AD8" i="35"/>
  <c r="AD9" i="35"/>
  <c r="AD10" i="35"/>
  <c r="AD11" i="35"/>
  <c r="AD12" i="35"/>
  <c r="AD13" i="35"/>
  <c r="AD14" i="35"/>
  <c r="AD15" i="35"/>
  <c r="AD16" i="35"/>
  <c r="AD17" i="35"/>
  <c r="AD18" i="35"/>
  <c r="AD19" i="35"/>
  <c r="AD20" i="35"/>
  <c r="AD21" i="35"/>
  <c r="AD22" i="35"/>
  <c r="AD23" i="35"/>
  <c r="AD24" i="35"/>
  <c r="AD25" i="35"/>
  <c r="AD26" i="35"/>
  <c r="AD27" i="35"/>
  <c r="AD28" i="35"/>
  <c r="AD29" i="35"/>
  <c r="AD30" i="35"/>
  <c r="AD31" i="35"/>
  <c r="AD32" i="35"/>
  <c r="AD33" i="35"/>
  <c r="AD34" i="35"/>
  <c r="AD35" i="35"/>
  <c r="AD36" i="35"/>
  <c r="AD37" i="35"/>
  <c r="AD38" i="35"/>
  <c r="AD39" i="35"/>
  <c r="AD40" i="35"/>
  <c r="AD41" i="35"/>
  <c r="AD42" i="35"/>
  <c r="AD43" i="35"/>
  <c r="AD44" i="35"/>
  <c r="AD45" i="35"/>
  <c r="AD46" i="35"/>
  <c r="AD47" i="35"/>
  <c r="AD48" i="35"/>
  <c r="AD49" i="35"/>
  <c r="AD50" i="35"/>
  <c r="AD51" i="35"/>
  <c r="AD52" i="35"/>
  <c r="AD53" i="35"/>
  <c r="AD54" i="35"/>
  <c r="AD55" i="35"/>
  <c r="AD56" i="35"/>
  <c r="AD57" i="35"/>
  <c r="AD58" i="35"/>
  <c r="AD59" i="35"/>
  <c r="AD60" i="35"/>
  <c r="AD61" i="35"/>
  <c r="AD62" i="35"/>
  <c r="AD63" i="35"/>
  <c r="AD64" i="35"/>
  <c r="AD65" i="35"/>
  <c r="AD66" i="35"/>
  <c r="AD67" i="35"/>
  <c r="AD68" i="35"/>
  <c r="AD2" i="35"/>
  <c r="AC3" i="35"/>
  <c r="AC4" i="35"/>
  <c r="AC5" i="35"/>
  <c r="AC6" i="35"/>
  <c r="AC7" i="35"/>
  <c r="AC8" i="35"/>
  <c r="AC9" i="35"/>
  <c r="AC10" i="35"/>
  <c r="AC11" i="35"/>
  <c r="AC12" i="35"/>
  <c r="AC13" i="35"/>
  <c r="AC14" i="35"/>
  <c r="AC15" i="35"/>
  <c r="AC16" i="35"/>
  <c r="AC17" i="35"/>
  <c r="AC18" i="35"/>
  <c r="AC19" i="35"/>
  <c r="AC20" i="35"/>
  <c r="AC21" i="35"/>
  <c r="AC22" i="35"/>
  <c r="AC23" i="35"/>
  <c r="AC24" i="35"/>
  <c r="AC25" i="35"/>
  <c r="AC26" i="35"/>
  <c r="AC27" i="35"/>
  <c r="AC28" i="35"/>
  <c r="AC29" i="35"/>
  <c r="AC30" i="35"/>
  <c r="AC31" i="35"/>
  <c r="AC32" i="35"/>
  <c r="AC33" i="35"/>
  <c r="AC34" i="35"/>
  <c r="AC35" i="35"/>
  <c r="AC36" i="35"/>
  <c r="AC37" i="35"/>
  <c r="AC38" i="35"/>
  <c r="AC39" i="35"/>
  <c r="AC40" i="35"/>
  <c r="AC41" i="35"/>
  <c r="AC42" i="35"/>
  <c r="AC43" i="35"/>
  <c r="AC44" i="35"/>
  <c r="AC45" i="35"/>
  <c r="AC46" i="35"/>
  <c r="AC47" i="35"/>
  <c r="AC48" i="35"/>
  <c r="AC49" i="35"/>
  <c r="AC50" i="35"/>
  <c r="AC51" i="35"/>
  <c r="AC52" i="35"/>
  <c r="AC53" i="35"/>
  <c r="AC54" i="35"/>
  <c r="AC55" i="35"/>
  <c r="AC56" i="35"/>
  <c r="AC57" i="35"/>
  <c r="AC58" i="35"/>
  <c r="AC59" i="35"/>
  <c r="AC60" i="35"/>
  <c r="AC61" i="35"/>
  <c r="AC62" i="35"/>
  <c r="AC63" i="35"/>
  <c r="AC64" i="35"/>
  <c r="AC65" i="35"/>
  <c r="AC66" i="35"/>
  <c r="AC67" i="35"/>
  <c r="AC68" i="35"/>
  <c r="AC2" i="35"/>
  <c r="AB3" i="35"/>
  <c r="AB4" i="35"/>
  <c r="AB5" i="35"/>
  <c r="AB6" i="35"/>
  <c r="AB7" i="35"/>
  <c r="AB8" i="35"/>
  <c r="AB9" i="35"/>
  <c r="AB10" i="35"/>
  <c r="AB11" i="35"/>
  <c r="AB12" i="35"/>
  <c r="AB13" i="35"/>
  <c r="AB14" i="35"/>
  <c r="AB15" i="35"/>
  <c r="AB16" i="35"/>
  <c r="AB17" i="35"/>
  <c r="AB18" i="35"/>
  <c r="AB19" i="35"/>
  <c r="AB20" i="35"/>
  <c r="AB21" i="35"/>
  <c r="AB22" i="35"/>
  <c r="AB23" i="35"/>
  <c r="AB24" i="35"/>
  <c r="AB25" i="35"/>
  <c r="AB26" i="35"/>
  <c r="AB27" i="35"/>
  <c r="AB28" i="35"/>
  <c r="AB29" i="35"/>
  <c r="AB30" i="35"/>
  <c r="AB31" i="35"/>
  <c r="AB32" i="35"/>
  <c r="AB33" i="35"/>
  <c r="AB34" i="35"/>
  <c r="AB35" i="35"/>
  <c r="AB36" i="35"/>
  <c r="AB37" i="35"/>
  <c r="AB38" i="35"/>
  <c r="AB39" i="35"/>
  <c r="AB40" i="35"/>
  <c r="AB41" i="35"/>
  <c r="AB42" i="35"/>
  <c r="AB43" i="35"/>
  <c r="AB44" i="35"/>
  <c r="AB45" i="35"/>
  <c r="AB46" i="35"/>
  <c r="AB47" i="35"/>
  <c r="AB48" i="35"/>
  <c r="AB49" i="35"/>
  <c r="AB50" i="35"/>
  <c r="AB51" i="35"/>
  <c r="AB52" i="35"/>
  <c r="AB53" i="35"/>
  <c r="AB54" i="35"/>
  <c r="AB55" i="35"/>
  <c r="AB56" i="35"/>
  <c r="AB57" i="35"/>
  <c r="AB58" i="35"/>
  <c r="AB59" i="35"/>
  <c r="AB60" i="35"/>
  <c r="AB61" i="35"/>
  <c r="AB62" i="35"/>
  <c r="AB63" i="35"/>
  <c r="AB64" i="35"/>
  <c r="AB65" i="35"/>
  <c r="AB66" i="35"/>
  <c r="AB67" i="35"/>
  <c r="AB68" i="35"/>
  <c r="AB2" i="35"/>
  <c r="AA3" i="35"/>
  <c r="AA4" i="35"/>
  <c r="AA5" i="35"/>
  <c r="AA6" i="35"/>
  <c r="AA7" i="35"/>
  <c r="AA8" i="35"/>
  <c r="AA9" i="35"/>
  <c r="AA10" i="35"/>
  <c r="AA11" i="35"/>
  <c r="AA12" i="35"/>
  <c r="AA13" i="35"/>
  <c r="AA14" i="35"/>
  <c r="AA15" i="35"/>
  <c r="AA16" i="35"/>
  <c r="AA17" i="35"/>
  <c r="AA18" i="35"/>
  <c r="AA19" i="35"/>
  <c r="AA20" i="35"/>
  <c r="AA21" i="35"/>
  <c r="AA22" i="35"/>
  <c r="AA23" i="35"/>
  <c r="AA24" i="35"/>
  <c r="AA25" i="35"/>
  <c r="AA26" i="35"/>
  <c r="AA27" i="35"/>
  <c r="AA28" i="35"/>
  <c r="AA29" i="35"/>
  <c r="AA30" i="35"/>
  <c r="AA31" i="35"/>
  <c r="AA32" i="35"/>
  <c r="AA33" i="35"/>
  <c r="AA34" i="35"/>
  <c r="AA35" i="35"/>
  <c r="AA36" i="35"/>
  <c r="AA37" i="35"/>
  <c r="AA38" i="35"/>
  <c r="AA39" i="35"/>
  <c r="AA40" i="35"/>
  <c r="AA41" i="35"/>
  <c r="AA42" i="35"/>
  <c r="AA43" i="35"/>
  <c r="AA44" i="35"/>
  <c r="AA45" i="35"/>
  <c r="AA46" i="35"/>
  <c r="AA47" i="35"/>
  <c r="AA48" i="35"/>
  <c r="AA49" i="35"/>
  <c r="AA50" i="35"/>
  <c r="AA51" i="35"/>
  <c r="AA52" i="35"/>
  <c r="AA53" i="35"/>
  <c r="AA54" i="35"/>
  <c r="AA55" i="35"/>
  <c r="AA56" i="35"/>
  <c r="AA57" i="35"/>
  <c r="AA58" i="35"/>
  <c r="AA59" i="35"/>
  <c r="AA60" i="35"/>
  <c r="AA61" i="35"/>
  <c r="AA62" i="35"/>
  <c r="AA63" i="35"/>
  <c r="AA64" i="35"/>
  <c r="AA65" i="35"/>
  <c r="AA66" i="35"/>
  <c r="AA67" i="35"/>
  <c r="AA68" i="35"/>
  <c r="AA2" i="35"/>
  <c r="Z3" i="35"/>
  <c r="Z4" i="35"/>
  <c r="Z5" i="35"/>
  <c r="Z6" i="35"/>
  <c r="Z7" i="35"/>
  <c r="Z8" i="35"/>
  <c r="Z9" i="35"/>
  <c r="Z10" i="35"/>
  <c r="Z11" i="35"/>
  <c r="Z12" i="35"/>
  <c r="Z13" i="35"/>
  <c r="Z14" i="35"/>
  <c r="Z15" i="35"/>
  <c r="Z16" i="35"/>
  <c r="Z17" i="35"/>
  <c r="Z18" i="35"/>
  <c r="Z19" i="35"/>
  <c r="Z20" i="35"/>
  <c r="Z21" i="35"/>
  <c r="Z22" i="35"/>
  <c r="Z23" i="35"/>
  <c r="Z24" i="35"/>
  <c r="Z25" i="35"/>
  <c r="Z26" i="35"/>
  <c r="Z27" i="35"/>
  <c r="Z28" i="35"/>
  <c r="Z29" i="35"/>
  <c r="Z30" i="35"/>
  <c r="Z31" i="35"/>
  <c r="Z32" i="35"/>
  <c r="Z33" i="35"/>
  <c r="Z34" i="35"/>
  <c r="Z35" i="35"/>
  <c r="Z36" i="35"/>
  <c r="Z37" i="35"/>
  <c r="Z38" i="35"/>
  <c r="Z39" i="35"/>
  <c r="Z40" i="35"/>
  <c r="Z41" i="35"/>
  <c r="Z42" i="35"/>
  <c r="Z43" i="35"/>
  <c r="Z44" i="35"/>
  <c r="Z45" i="35"/>
  <c r="Z46" i="35"/>
  <c r="Z47" i="35"/>
  <c r="Z48" i="35"/>
  <c r="Z49" i="35"/>
  <c r="Z50" i="35"/>
  <c r="Z51" i="35"/>
  <c r="Z52" i="35"/>
  <c r="Z53" i="35"/>
  <c r="Z54" i="35"/>
  <c r="Z55" i="35"/>
  <c r="Z56" i="35"/>
  <c r="Z57" i="35"/>
  <c r="Z58" i="35"/>
  <c r="Z59" i="35"/>
  <c r="Z60" i="35"/>
  <c r="Z61" i="35"/>
  <c r="Z62" i="35"/>
  <c r="Z63" i="35"/>
  <c r="Z64" i="35"/>
  <c r="Z65" i="35"/>
  <c r="Z66" i="35"/>
  <c r="Z67" i="35"/>
  <c r="Z68" i="35"/>
  <c r="Z2" i="35"/>
  <c r="Y3" i="35"/>
  <c r="Y4" i="35"/>
  <c r="Y5" i="35"/>
  <c r="Y6" i="35"/>
  <c r="Y7" i="35"/>
  <c r="Y8" i="35"/>
  <c r="Y9" i="35"/>
  <c r="Y10" i="35"/>
  <c r="Y11" i="35"/>
  <c r="Y12" i="35"/>
  <c r="Y13" i="35"/>
  <c r="Y14" i="35"/>
  <c r="Y15" i="35"/>
  <c r="Y16" i="35"/>
  <c r="Y17" i="35"/>
  <c r="Y18" i="35"/>
  <c r="Y19" i="35"/>
  <c r="Y20" i="35"/>
  <c r="Y21" i="35"/>
  <c r="Y22" i="35"/>
  <c r="Y23" i="35"/>
  <c r="Y24" i="35"/>
  <c r="Y25" i="35"/>
  <c r="Y26" i="35"/>
  <c r="Y27" i="35"/>
  <c r="Y28" i="35"/>
  <c r="Y29" i="35"/>
  <c r="Y30" i="35"/>
  <c r="Y31" i="35"/>
  <c r="Y32" i="35"/>
  <c r="Y33" i="35"/>
  <c r="Y34" i="35"/>
  <c r="Y35" i="35"/>
  <c r="Y36" i="35"/>
  <c r="Y37" i="35"/>
  <c r="Y38" i="35"/>
  <c r="Y39" i="35"/>
  <c r="Y40" i="35"/>
  <c r="Y41" i="35"/>
  <c r="Y42" i="35"/>
  <c r="Y43" i="35"/>
  <c r="Y44" i="35"/>
  <c r="Y45" i="35"/>
  <c r="Y46" i="35"/>
  <c r="Y47" i="35"/>
  <c r="Y48" i="35"/>
  <c r="Y49" i="35"/>
  <c r="Y50" i="35"/>
  <c r="Y51" i="35"/>
  <c r="Y52" i="35"/>
  <c r="Y53" i="35"/>
  <c r="Y54" i="35"/>
  <c r="Y55" i="35"/>
  <c r="Y56" i="35"/>
  <c r="Y57" i="35"/>
  <c r="Y58" i="35"/>
  <c r="Y59" i="35"/>
  <c r="Y60" i="35"/>
  <c r="Y61" i="35"/>
  <c r="Y62" i="35"/>
  <c r="Y63" i="35"/>
  <c r="Y64" i="35"/>
  <c r="Y65" i="35"/>
  <c r="Y66" i="35"/>
  <c r="Y67" i="35"/>
  <c r="Y68" i="35"/>
  <c r="Y2" i="35"/>
  <c r="X3" i="35"/>
  <c r="X4" i="35"/>
  <c r="X5" i="35"/>
  <c r="X6" i="35"/>
  <c r="X7" i="35"/>
  <c r="X8" i="35"/>
  <c r="X9" i="35"/>
  <c r="X10" i="35"/>
  <c r="X11" i="35"/>
  <c r="X12" i="35"/>
  <c r="X13" i="35"/>
  <c r="X14" i="35"/>
  <c r="X15" i="35"/>
  <c r="X16" i="35"/>
  <c r="X17" i="35"/>
  <c r="X18" i="35"/>
  <c r="X19" i="35"/>
  <c r="X20" i="35"/>
  <c r="X21" i="35"/>
  <c r="X22" i="35"/>
  <c r="X23" i="35"/>
  <c r="X24" i="35"/>
  <c r="X25" i="35"/>
  <c r="X26" i="35"/>
  <c r="X27" i="35"/>
  <c r="X28" i="35"/>
  <c r="X29" i="35"/>
  <c r="X30" i="35"/>
  <c r="X31" i="35"/>
  <c r="X32" i="35"/>
  <c r="X33" i="35"/>
  <c r="X34" i="35"/>
  <c r="X35" i="35"/>
  <c r="X36" i="35"/>
  <c r="X37" i="35"/>
  <c r="X38" i="35"/>
  <c r="X39" i="35"/>
  <c r="X40" i="35"/>
  <c r="X41" i="35"/>
  <c r="X42" i="35"/>
  <c r="X43" i="35"/>
  <c r="X44" i="35"/>
  <c r="X45" i="35"/>
  <c r="X46" i="35"/>
  <c r="X47" i="35"/>
  <c r="X48" i="35"/>
  <c r="X49" i="35"/>
  <c r="X50" i="35"/>
  <c r="X51" i="35"/>
  <c r="X52" i="35"/>
  <c r="X53" i="35"/>
  <c r="X54" i="35"/>
  <c r="X55" i="35"/>
  <c r="X56" i="35"/>
  <c r="X57" i="35"/>
  <c r="X58" i="35"/>
  <c r="X59" i="35"/>
  <c r="X60" i="35"/>
  <c r="X61" i="35"/>
  <c r="X62" i="35"/>
  <c r="X63" i="35"/>
  <c r="X64" i="35"/>
  <c r="X65" i="35"/>
  <c r="X66" i="35"/>
  <c r="X67" i="35"/>
  <c r="X68" i="35"/>
  <c r="X2" i="35"/>
  <c r="W3" i="35"/>
  <c r="W4" i="35"/>
  <c r="W5" i="35"/>
  <c r="W6" i="35"/>
  <c r="W7" i="35"/>
  <c r="W8" i="35"/>
  <c r="W9" i="35"/>
  <c r="W10" i="35"/>
  <c r="W11" i="35"/>
  <c r="W12" i="35"/>
  <c r="W13" i="35"/>
  <c r="W14" i="35"/>
  <c r="W15" i="35"/>
  <c r="W16" i="35"/>
  <c r="W17" i="35"/>
  <c r="W18" i="35"/>
  <c r="W19" i="35"/>
  <c r="W20" i="35"/>
  <c r="W21" i="35"/>
  <c r="W22" i="35"/>
  <c r="W23" i="35"/>
  <c r="W24" i="35"/>
  <c r="W25" i="35"/>
  <c r="W26" i="35"/>
  <c r="W27" i="35"/>
  <c r="W28" i="35"/>
  <c r="W29" i="35"/>
  <c r="W30" i="35"/>
  <c r="W31" i="35"/>
  <c r="W32" i="35"/>
  <c r="W33" i="35"/>
  <c r="W34" i="35"/>
  <c r="W35" i="35"/>
  <c r="W36" i="35"/>
  <c r="W37" i="35"/>
  <c r="W38" i="35"/>
  <c r="W39" i="35"/>
  <c r="W40" i="35"/>
  <c r="W41" i="35"/>
  <c r="W42" i="35"/>
  <c r="W43" i="35"/>
  <c r="W44" i="35"/>
  <c r="W45" i="35"/>
  <c r="W46" i="35"/>
  <c r="W47" i="35"/>
  <c r="W48" i="35"/>
  <c r="W49" i="35"/>
  <c r="W50" i="35"/>
  <c r="W51" i="35"/>
  <c r="W52" i="35"/>
  <c r="W53" i="35"/>
  <c r="W54" i="35"/>
  <c r="W55" i="35"/>
  <c r="W56" i="35"/>
  <c r="W57" i="35"/>
  <c r="W58" i="35"/>
  <c r="W59" i="35"/>
  <c r="W60" i="35"/>
  <c r="W61" i="35"/>
  <c r="W62" i="35"/>
  <c r="W63" i="35"/>
  <c r="W64" i="35"/>
  <c r="W65" i="35"/>
  <c r="W66" i="35"/>
  <c r="W67" i="35"/>
  <c r="W68" i="35"/>
  <c r="W2" i="35"/>
  <c r="V3" i="35"/>
  <c r="V4" i="35"/>
  <c r="V5" i="35"/>
  <c r="V6" i="35"/>
  <c r="V7" i="35"/>
  <c r="V8" i="35"/>
  <c r="V9" i="35"/>
  <c r="V10" i="35"/>
  <c r="V11" i="35"/>
  <c r="V12" i="35"/>
  <c r="V13" i="35"/>
  <c r="V14" i="35"/>
  <c r="V15" i="35"/>
  <c r="V16" i="35"/>
  <c r="V17" i="35"/>
  <c r="V18" i="35"/>
  <c r="V19" i="35"/>
  <c r="V20" i="35"/>
  <c r="V21" i="35"/>
  <c r="V22" i="35"/>
  <c r="V23" i="35"/>
  <c r="V24" i="35"/>
  <c r="V25" i="35"/>
  <c r="V26" i="35"/>
  <c r="V27" i="35"/>
  <c r="V28" i="35"/>
  <c r="V29" i="35"/>
  <c r="V30" i="35"/>
  <c r="V31" i="35"/>
  <c r="V32" i="35"/>
  <c r="V33" i="35"/>
  <c r="V34" i="35"/>
  <c r="V35" i="35"/>
  <c r="V36" i="35"/>
  <c r="V37" i="35"/>
  <c r="V38" i="35"/>
  <c r="V39" i="35"/>
  <c r="V40" i="35"/>
  <c r="V41" i="35"/>
  <c r="V42" i="35"/>
  <c r="V43" i="35"/>
  <c r="V44" i="35"/>
  <c r="V45" i="35"/>
  <c r="V46" i="35"/>
  <c r="V47" i="35"/>
  <c r="V48" i="35"/>
  <c r="V49" i="35"/>
  <c r="V50" i="35"/>
  <c r="V51" i="35"/>
  <c r="V52" i="35"/>
  <c r="V53" i="35"/>
  <c r="V54" i="35"/>
  <c r="V55" i="35"/>
  <c r="V56" i="35"/>
  <c r="V57" i="35"/>
  <c r="V58" i="35"/>
  <c r="V59" i="35"/>
  <c r="V60" i="35"/>
  <c r="V61" i="35"/>
  <c r="V62" i="35"/>
  <c r="V63" i="35"/>
  <c r="V64" i="35"/>
  <c r="V65" i="35"/>
  <c r="V66" i="35"/>
  <c r="V67" i="35"/>
  <c r="V68" i="35"/>
  <c r="V2" i="35"/>
  <c r="U3" i="35"/>
  <c r="U4" i="35"/>
  <c r="U5" i="35"/>
  <c r="U6" i="35"/>
  <c r="U7" i="35"/>
  <c r="U8" i="35"/>
  <c r="U9" i="35"/>
  <c r="U10" i="35"/>
  <c r="U11" i="35"/>
  <c r="U12" i="35"/>
  <c r="U13" i="35"/>
  <c r="U14" i="35"/>
  <c r="U15" i="35"/>
  <c r="U16" i="35"/>
  <c r="U17" i="35"/>
  <c r="U18" i="35"/>
  <c r="U19" i="35"/>
  <c r="U20" i="35"/>
  <c r="U21" i="35"/>
  <c r="U22" i="35"/>
  <c r="U23" i="35"/>
  <c r="U24" i="35"/>
  <c r="U25" i="35"/>
  <c r="U26" i="35"/>
  <c r="U27" i="35"/>
  <c r="U28" i="35"/>
  <c r="U29" i="35"/>
  <c r="U30" i="35"/>
  <c r="U31" i="35"/>
  <c r="U32" i="35"/>
  <c r="U33" i="35"/>
  <c r="U34" i="35"/>
  <c r="U35" i="35"/>
  <c r="U36" i="35"/>
  <c r="U37" i="35"/>
  <c r="U38" i="35"/>
  <c r="U39" i="35"/>
  <c r="U40" i="35"/>
  <c r="U41" i="35"/>
  <c r="U42" i="35"/>
  <c r="U43" i="35"/>
  <c r="U44" i="35"/>
  <c r="U45" i="35"/>
  <c r="U46" i="35"/>
  <c r="U47" i="35"/>
  <c r="U48" i="35"/>
  <c r="U49" i="35"/>
  <c r="U50" i="35"/>
  <c r="U51" i="35"/>
  <c r="U52" i="35"/>
  <c r="U53" i="35"/>
  <c r="U54" i="35"/>
  <c r="U55" i="35"/>
  <c r="U56" i="35"/>
  <c r="U57" i="35"/>
  <c r="U58" i="35"/>
  <c r="U59" i="35"/>
  <c r="U60" i="35"/>
  <c r="U61" i="35"/>
  <c r="U62" i="35"/>
  <c r="U63" i="35"/>
  <c r="U64" i="35"/>
  <c r="U65" i="35"/>
  <c r="U66" i="35"/>
  <c r="U67" i="35"/>
  <c r="U68" i="35"/>
  <c r="U2" i="35"/>
  <c r="T3" i="35"/>
  <c r="T4" i="35"/>
  <c r="T5" i="35"/>
  <c r="T6" i="35"/>
  <c r="T7" i="35"/>
  <c r="T8" i="35"/>
  <c r="T9" i="35"/>
  <c r="T10" i="35"/>
  <c r="T11" i="35"/>
  <c r="T12" i="35"/>
  <c r="T13" i="35"/>
  <c r="T14" i="35"/>
  <c r="T15" i="35"/>
  <c r="T16" i="35"/>
  <c r="T17" i="35"/>
  <c r="T18" i="35"/>
  <c r="T19" i="35"/>
  <c r="T20" i="35"/>
  <c r="T21" i="35"/>
  <c r="T22" i="35"/>
  <c r="T23" i="35"/>
  <c r="T24" i="35"/>
  <c r="T25" i="35"/>
  <c r="T26" i="35"/>
  <c r="T27" i="35"/>
  <c r="T28" i="35"/>
  <c r="T29" i="35"/>
  <c r="T30" i="35"/>
  <c r="T31" i="35"/>
  <c r="T32" i="35"/>
  <c r="T33" i="35"/>
  <c r="T34" i="35"/>
  <c r="T35" i="35"/>
  <c r="T36" i="35"/>
  <c r="T37" i="35"/>
  <c r="T38" i="35"/>
  <c r="T39" i="35"/>
  <c r="T40" i="35"/>
  <c r="T41" i="35"/>
  <c r="T42" i="35"/>
  <c r="T43" i="35"/>
  <c r="T44" i="35"/>
  <c r="T45" i="35"/>
  <c r="T46" i="35"/>
  <c r="T47" i="35"/>
  <c r="T48" i="35"/>
  <c r="T49" i="35"/>
  <c r="T50" i="35"/>
  <c r="T51" i="35"/>
  <c r="T52" i="35"/>
  <c r="T53" i="35"/>
  <c r="T54" i="35"/>
  <c r="T55" i="35"/>
  <c r="T56" i="35"/>
  <c r="T57" i="35"/>
  <c r="T58" i="35"/>
  <c r="T59" i="35"/>
  <c r="T60" i="35"/>
  <c r="T61" i="35"/>
  <c r="T62" i="35"/>
  <c r="T63" i="35"/>
  <c r="T64" i="35"/>
  <c r="T65" i="35"/>
  <c r="T66" i="35"/>
  <c r="T67" i="35"/>
  <c r="T68" i="35"/>
  <c r="T2" i="35"/>
  <c r="S3" i="35"/>
  <c r="S4" i="35"/>
  <c r="S5" i="35"/>
  <c r="S6" i="35"/>
  <c r="S7" i="35"/>
  <c r="S8" i="35"/>
  <c r="S9" i="35"/>
  <c r="S10" i="35"/>
  <c r="S11" i="35"/>
  <c r="S12" i="35"/>
  <c r="S13" i="35"/>
  <c r="S14" i="35"/>
  <c r="S15" i="35"/>
  <c r="S16" i="35"/>
  <c r="S17" i="35"/>
  <c r="S18" i="35"/>
  <c r="S19" i="35"/>
  <c r="S20" i="35"/>
  <c r="S21" i="35"/>
  <c r="S22" i="35"/>
  <c r="S23" i="35"/>
  <c r="S24" i="35"/>
  <c r="S25" i="35"/>
  <c r="S26" i="35"/>
  <c r="S27" i="35"/>
  <c r="S28" i="35"/>
  <c r="S29" i="35"/>
  <c r="S30" i="35"/>
  <c r="S31" i="35"/>
  <c r="S32" i="35"/>
  <c r="S33" i="35"/>
  <c r="S34" i="35"/>
  <c r="S35" i="35"/>
  <c r="S36" i="35"/>
  <c r="S37" i="35"/>
  <c r="S38" i="35"/>
  <c r="S39" i="35"/>
  <c r="S40" i="35"/>
  <c r="S41" i="35"/>
  <c r="S42" i="35"/>
  <c r="S43" i="35"/>
  <c r="S44" i="35"/>
  <c r="S45" i="35"/>
  <c r="S46" i="35"/>
  <c r="S47" i="35"/>
  <c r="S48" i="35"/>
  <c r="S49" i="35"/>
  <c r="S50" i="35"/>
  <c r="S51" i="35"/>
  <c r="S52" i="35"/>
  <c r="S53" i="35"/>
  <c r="S54" i="35"/>
  <c r="S55" i="35"/>
  <c r="S56" i="35"/>
  <c r="S57" i="35"/>
  <c r="S58" i="35"/>
  <c r="S59" i="35"/>
  <c r="S60" i="35"/>
  <c r="S61" i="35"/>
  <c r="S62" i="35"/>
  <c r="S63" i="35"/>
  <c r="S64" i="35"/>
  <c r="S65" i="35"/>
  <c r="S66" i="35"/>
  <c r="S67" i="35"/>
  <c r="S68" i="35"/>
  <c r="S2" i="35"/>
  <c r="R3" i="35"/>
  <c r="R4" i="35"/>
  <c r="R5" i="35"/>
  <c r="R6" i="35"/>
  <c r="R7" i="35"/>
  <c r="R8" i="35"/>
  <c r="R9" i="35"/>
  <c r="R10" i="35"/>
  <c r="R11" i="35"/>
  <c r="R12" i="35"/>
  <c r="R13" i="35"/>
  <c r="R14" i="35"/>
  <c r="R15" i="35"/>
  <c r="R16" i="35"/>
  <c r="R17" i="35"/>
  <c r="R18" i="35"/>
  <c r="R19" i="35"/>
  <c r="R20" i="35"/>
  <c r="R21" i="35"/>
  <c r="R22" i="35"/>
  <c r="R23" i="35"/>
  <c r="R24" i="35"/>
  <c r="R25" i="35"/>
  <c r="R26" i="35"/>
  <c r="R27" i="35"/>
  <c r="R28" i="35"/>
  <c r="R29" i="35"/>
  <c r="R30" i="35"/>
  <c r="R31" i="35"/>
  <c r="R32" i="35"/>
  <c r="R33" i="35"/>
  <c r="R34" i="35"/>
  <c r="R35" i="35"/>
  <c r="R36" i="35"/>
  <c r="R37" i="35"/>
  <c r="R38" i="35"/>
  <c r="R39" i="35"/>
  <c r="R40" i="35"/>
  <c r="R41" i="35"/>
  <c r="R42" i="35"/>
  <c r="R43" i="35"/>
  <c r="R44" i="35"/>
  <c r="R45" i="35"/>
  <c r="R46" i="35"/>
  <c r="R47" i="35"/>
  <c r="R48" i="35"/>
  <c r="R49" i="35"/>
  <c r="R50" i="35"/>
  <c r="R51" i="35"/>
  <c r="R52" i="35"/>
  <c r="R53" i="35"/>
  <c r="R54" i="35"/>
  <c r="R55" i="35"/>
  <c r="R56" i="35"/>
  <c r="R57" i="35"/>
  <c r="R58" i="35"/>
  <c r="R59" i="35"/>
  <c r="R60" i="35"/>
  <c r="R61" i="35"/>
  <c r="R62" i="35"/>
  <c r="R63" i="35"/>
  <c r="R64" i="35"/>
  <c r="R65" i="35"/>
  <c r="R66" i="35"/>
  <c r="R67" i="35"/>
  <c r="R68" i="35"/>
  <c r="R2" i="35"/>
  <c r="Q3" i="35"/>
  <c r="Q4" i="35"/>
  <c r="Q5" i="35"/>
  <c r="Q6" i="35"/>
  <c r="Q7" i="35"/>
  <c r="Q8" i="35"/>
  <c r="Q9" i="35"/>
  <c r="Q10" i="35"/>
  <c r="Q11" i="35"/>
  <c r="Q12" i="35"/>
  <c r="Q13" i="35"/>
  <c r="Q14" i="35"/>
  <c r="Q15" i="35"/>
  <c r="Q16" i="35"/>
  <c r="Q17" i="35"/>
  <c r="Q18" i="35"/>
  <c r="Q19" i="35"/>
  <c r="Q20" i="35"/>
  <c r="Q21" i="35"/>
  <c r="Q22" i="35"/>
  <c r="Q23" i="35"/>
  <c r="Q24" i="35"/>
  <c r="Q25" i="35"/>
  <c r="Q26" i="35"/>
  <c r="Q27" i="35"/>
  <c r="Q28" i="35"/>
  <c r="Q29" i="35"/>
  <c r="Q30" i="35"/>
  <c r="Q31" i="35"/>
  <c r="Q32" i="35"/>
  <c r="Q33" i="35"/>
  <c r="Q34" i="35"/>
  <c r="Q35" i="35"/>
  <c r="Q36" i="35"/>
  <c r="Q37" i="35"/>
  <c r="Q38" i="35"/>
  <c r="Q39" i="35"/>
  <c r="Q40" i="35"/>
  <c r="Q41" i="35"/>
  <c r="Q42" i="35"/>
  <c r="Q43" i="35"/>
  <c r="Q44" i="35"/>
  <c r="Q45" i="35"/>
  <c r="Q46" i="35"/>
  <c r="Q47" i="35"/>
  <c r="Q48" i="35"/>
  <c r="Q49" i="35"/>
  <c r="Q50" i="35"/>
  <c r="Q51" i="35"/>
  <c r="Q52" i="35"/>
  <c r="Q53" i="35"/>
  <c r="Q54" i="35"/>
  <c r="Q55" i="35"/>
  <c r="Q56" i="35"/>
  <c r="Q57" i="35"/>
  <c r="Q58" i="35"/>
  <c r="Q59" i="35"/>
  <c r="Q60" i="35"/>
  <c r="Q61" i="35"/>
  <c r="Q62" i="35"/>
  <c r="Q63" i="35"/>
  <c r="Q64" i="35"/>
  <c r="Q65" i="35"/>
  <c r="Q66" i="35"/>
  <c r="Q67" i="35"/>
  <c r="Q68" i="35"/>
  <c r="Q2" i="35"/>
  <c r="P3" i="35"/>
  <c r="P4" i="35"/>
  <c r="P5" i="35"/>
  <c r="P6" i="35"/>
  <c r="P7" i="35"/>
  <c r="P8" i="35"/>
  <c r="P9" i="35"/>
  <c r="P10" i="35"/>
  <c r="P11" i="35"/>
  <c r="P12" i="35"/>
  <c r="P13" i="35"/>
  <c r="P14" i="35"/>
  <c r="P15" i="35"/>
  <c r="P16" i="35"/>
  <c r="P17" i="35"/>
  <c r="P18" i="35"/>
  <c r="P19" i="35"/>
  <c r="P20" i="35"/>
  <c r="P21" i="35"/>
  <c r="P22" i="35"/>
  <c r="P23" i="35"/>
  <c r="P24" i="35"/>
  <c r="P25" i="35"/>
  <c r="P26" i="35"/>
  <c r="P27" i="35"/>
  <c r="P28" i="35"/>
  <c r="P29" i="35"/>
  <c r="P30" i="35"/>
  <c r="P31" i="35"/>
  <c r="P32" i="35"/>
  <c r="P33" i="35"/>
  <c r="P34" i="35"/>
  <c r="P35" i="35"/>
  <c r="P36" i="35"/>
  <c r="P37" i="35"/>
  <c r="P38" i="35"/>
  <c r="P39" i="35"/>
  <c r="P40" i="35"/>
  <c r="P41" i="35"/>
  <c r="P42" i="35"/>
  <c r="P43" i="35"/>
  <c r="P44" i="35"/>
  <c r="P45" i="35"/>
  <c r="P46" i="35"/>
  <c r="P47" i="35"/>
  <c r="P48" i="35"/>
  <c r="P49" i="35"/>
  <c r="P50" i="35"/>
  <c r="P51" i="35"/>
  <c r="P52" i="35"/>
  <c r="P53" i="35"/>
  <c r="P54" i="35"/>
  <c r="P55" i="35"/>
  <c r="P56" i="35"/>
  <c r="P57" i="35"/>
  <c r="P58" i="35"/>
  <c r="P59" i="35"/>
  <c r="P60" i="35"/>
  <c r="P61" i="35"/>
  <c r="P62" i="35"/>
  <c r="P63" i="35"/>
  <c r="P64" i="35"/>
  <c r="P65" i="35"/>
  <c r="P66" i="35"/>
  <c r="P67" i="35"/>
  <c r="P68" i="35"/>
  <c r="P2" i="35"/>
  <c r="O3" i="35"/>
  <c r="O4" i="35"/>
  <c r="O5" i="35"/>
  <c r="O6" i="35"/>
  <c r="O7" i="35"/>
  <c r="O8" i="35"/>
  <c r="O9" i="35"/>
  <c r="O10" i="35"/>
  <c r="O11" i="35"/>
  <c r="O12" i="35"/>
  <c r="O13" i="35"/>
  <c r="O14" i="35"/>
  <c r="O15" i="35"/>
  <c r="O16" i="35"/>
  <c r="O17" i="35"/>
  <c r="O18" i="35"/>
  <c r="O19" i="35"/>
  <c r="O20" i="35"/>
  <c r="O21" i="35"/>
  <c r="O22" i="35"/>
  <c r="O23" i="35"/>
  <c r="O24" i="35"/>
  <c r="O25" i="35"/>
  <c r="O26" i="35"/>
  <c r="O27" i="35"/>
  <c r="O28" i="35"/>
  <c r="O29" i="35"/>
  <c r="O30" i="35"/>
  <c r="O31" i="35"/>
  <c r="O32" i="35"/>
  <c r="O33" i="35"/>
  <c r="O34" i="35"/>
  <c r="O35" i="35"/>
  <c r="O36" i="35"/>
  <c r="O37" i="35"/>
  <c r="O38" i="35"/>
  <c r="O39" i="35"/>
  <c r="O40" i="35"/>
  <c r="O41" i="35"/>
  <c r="O42" i="35"/>
  <c r="O43" i="35"/>
  <c r="O44" i="35"/>
  <c r="O45" i="35"/>
  <c r="O46" i="35"/>
  <c r="O47" i="35"/>
  <c r="O48" i="35"/>
  <c r="O49" i="35"/>
  <c r="O50" i="35"/>
  <c r="O51" i="35"/>
  <c r="O52" i="35"/>
  <c r="O53" i="35"/>
  <c r="O54" i="35"/>
  <c r="O55" i="35"/>
  <c r="O56" i="35"/>
  <c r="O57" i="35"/>
  <c r="O58" i="35"/>
  <c r="O59" i="35"/>
  <c r="O60" i="35"/>
  <c r="O61" i="35"/>
  <c r="O62" i="35"/>
  <c r="O63" i="35"/>
  <c r="O64" i="35"/>
  <c r="O65" i="35"/>
  <c r="O66" i="35"/>
  <c r="O67" i="35"/>
  <c r="O68" i="35"/>
  <c r="O2" i="35"/>
  <c r="N3" i="35"/>
  <c r="N4" i="35"/>
  <c r="N5" i="35"/>
  <c r="N6" i="35"/>
  <c r="N7" i="35"/>
  <c r="N8" i="35"/>
  <c r="N9" i="35"/>
  <c r="N10" i="35"/>
  <c r="N11" i="35"/>
  <c r="N12" i="35"/>
  <c r="N13" i="35"/>
  <c r="N14" i="35"/>
  <c r="N15" i="35"/>
  <c r="N16" i="35"/>
  <c r="N17" i="35"/>
  <c r="N18" i="35"/>
  <c r="N19" i="35"/>
  <c r="N20" i="35"/>
  <c r="N21" i="35"/>
  <c r="N22" i="35"/>
  <c r="N23" i="35"/>
  <c r="N24" i="35"/>
  <c r="N25" i="35"/>
  <c r="N26" i="35"/>
  <c r="N27" i="35"/>
  <c r="N28" i="35"/>
  <c r="N29" i="35"/>
  <c r="N30" i="35"/>
  <c r="N31" i="35"/>
  <c r="N32" i="35"/>
  <c r="N33" i="35"/>
  <c r="N34" i="35"/>
  <c r="N35" i="35"/>
  <c r="N36" i="35"/>
  <c r="N37" i="35"/>
  <c r="N38" i="35"/>
  <c r="N39" i="35"/>
  <c r="N40" i="35"/>
  <c r="N41" i="35"/>
  <c r="N42" i="35"/>
  <c r="N43" i="35"/>
  <c r="N44" i="35"/>
  <c r="N45" i="35"/>
  <c r="N46" i="35"/>
  <c r="N47" i="35"/>
  <c r="N48" i="35"/>
  <c r="N49" i="35"/>
  <c r="N50" i="35"/>
  <c r="N51" i="35"/>
  <c r="N52" i="35"/>
  <c r="N53" i="35"/>
  <c r="N54" i="35"/>
  <c r="N55" i="35"/>
  <c r="N56" i="35"/>
  <c r="N57" i="35"/>
  <c r="N58" i="35"/>
  <c r="N59" i="35"/>
  <c r="N60" i="35"/>
  <c r="N61" i="35"/>
  <c r="N62" i="35"/>
  <c r="N63" i="35"/>
  <c r="N64" i="35"/>
  <c r="N65" i="35"/>
  <c r="N66" i="35"/>
  <c r="N67" i="35"/>
  <c r="N68" i="35"/>
  <c r="N2" i="35"/>
  <c r="M3" i="35"/>
  <c r="M4" i="35"/>
  <c r="M5" i="35"/>
  <c r="M6" i="35"/>
  <c r="M7" i="35"/>
  <c r="M8" i="35"/>
  <c r="M9" i="35"/>
  <c r="M10" i="35"/>
  <c r="M11" i="35"/>
  <c r="M12" i="35"/>
  <c r="M13" i="35"/>
  <c r="M14" i="35"/>
  <c r="M15" i="35"/>
  <c r="M16" i="35"/>
  <c r="M17" i="35"/>
  <c r="M18" i="35"/>
  <c r="M19" i="35"/>
  <c r="M20" i="35"/>
  <c r="M21" i="35"/>
  <c r="M22" i="35"/>
  <c r="M23" i="35"/>
  <c r="M24" i="35"/>
  <c r="M25" i="35"/>
  <c r="M26" i="35"/>
  <c r="M27" i="35"/>
  <c r="M28" i="35"/>
  <c r="M29" i="35"/>
  <c r="M30" i="35"/>
  <c r="M31" i="35"/>
  <c r="M32" i="35"/>
  <c r="M33" i="35"/>
  <c r="M34" i="35"/>
  <c r="M35" i="35"/>
  <c r="M36" i="35"/>
  <c r="M37" i="35"/>
  <c r="M38" i="35"/>
  <c r="M39" i="35"/>
  <c r="M40" i="35"/>
  <c r="M41" i="35"/>
  <c r="M42" i="35"/>
  <c r="M43" i="35"/>
  <c r="M44" i="35"/>
  <c r="M45" i="35"/>
  <c r="M46" i="35"/>
  <c r="M47" i="35"/>
  <c r="M48" i="35"/>
  <c r="M49" i="35"/>
  <c r="M50" i="35"/>
  <c r="M51" i="35"/>
  <c r="M52" i="35"/>
  <c r="M53" i="35"/>
  <c r="M54" i="35"/>
  <c r="M55" i="35"/>
  <c r="M56" i="35"/>
  <c r="M57" i="35"/>
  <c r="M58" i="35"/>
  <c r="M59" i="35"/>
  <c r="M60" i="35"/>
  <c r="M61" i="35"/>
  <c r="M62" i="35"/>
  <c r="M63" i="35"/>
  <c r="M64" i="35"/>
  <c r="M65" i="35"/>
  <c r="M66" i="35"/>
  <c r="M67" i="35"/>
  <c r="M68" i="35"/>
  <c r="M2" i="35"/>
  <c r="L3" i="35"/>
  <c r="L4" i="35"/>
  <c r="L5" i="35"/>
  <c r="L6" i="35"/>
  <c r="L7" i="35"/>
  <c r="L8" i="35"/>
  <c r="L9" i="35"/>
  <c r="L10" i="35"/>
  <c r="L11" i="35"/>
  <c r="L12" i="35"/>
  <c r="L13" i="35"/>
  <c r="L14" i="35"/>
  <c r="L15" i="35"/>
  <c r="L16" i="35"/>
  <c r="L17" i="35"/>
  <c r="L18" i="35"/>
  <c r="L19" i="35"/>
  <c r="L20" i="35"/>
  <c r="L21" i="35"/>
  <c r="L22" i="35"/>
  <c r="L23" i="35"/>
  <c r="L24" i="35"/>
  <c r="L25" i="35"/>
  <c r="L26" i="35"/>
  <c r="L27" i="35"/>
  <c r="L28" i="35"/>
  <c r="L29" i="35"/>
  <c r="L30" i="35"/>
  <c r="L31" i="35"/>
  <c r="L32" i="35"/>
  <c r="L33" i="35"/>
  <c r="L34" i="35"/>
  <c r="L35" i="35"/>
  <c r="L36" i="35"/>
  <c r="L37" i="35"/>
  <c r="L38" i="35"/>
  <c r="L39" i="35"/>
  <c r="L40" i="35"/>
  <c r="L41" i="35"/>
  <c r="L42" i="35"/>
  <c r="L43" i="35"/>
  <c r="L44" i="35"/>
  <c r="L45" i="35"/>
  <c r="L46" i="35"/>
  <c r="L47" i="35"/>
  <c r="L48" i="35"/>
  <c r="L49" i="35"/>
  <c r="L50" i="35"/>
  <c r="L51" i="35"/>
  <c r="L52" i="35"/>
  <c r="L53" i="35"/>
  <c r="L54" i="35"/>
  <c r="L55" i="35"/>
  <c r="L56" i="35"/>
  <c r="L57" i="35"/>
  <c r="L58" i="35"/>
  <c r="L59" i="35"/>
  <c r="L60" i="35"/>
  <c r="L61" i="35"/>
  <c r="L62" i="35"/>
  <c r="L63" i="35"/>
  <c r="L64" i="35"/>
  <c r="L65" i="35"/>
  <c r="L66" i="35"/>
  <c r="L67" i="35"/>
  <c r="L68" i="35"/>
  <c r="L2" i="35"/>
  <c r="K3" i="35"/>
  <c r="K4" i="35"/>
  <c r="K5" i="35"/>
  <c r="K6" i="35"/>
  <c r="K7" i="35"/>
  <c r="K8" i="35"/>
  <c r="K9" i="35"/>
  <c r="K10" i="35"/>
  <c r="K11" i="35"/>
  <c r="K12" i="35"/>
  <c r="K13" i="35"/>
  <c r="K14" i="35"/>
  <c r="K15" i="35"/>
  <c r="K16" i="35"/>
  <c r="K17" i="35"/>
  <c r="K18" i="35"/>
  <c r="K19" i="35"/>
  <c r="K20" i="35"/>
  <c r="K21" i="35"/>
  <c r="K22" i="35"/>
  <c r="K23" i="35"/>
  <c r="K24" i="35"/>
  <c r="K25" i="35"/>
  <c r="K26" i="35"/>
  <c r="K27" i="35"/>
  <c r="K28" i="35"/>
  <c r="K29" i="35"/>
  <c r="K30" i="35"/>
  <c r="K31" i="35"/>
  <c r="K32" i="35"/>
  <c r="K33" i="35"/>
  <c r="K34" i="35"/>
  <c r="K35" i="35"/>
  <c r="K36" i="35"/>
  <c r="K37" i="35"/>
  <c r="K38" i="35"/>
  <c r="K39" i="35"/>
  <c r="K40" i="35"/>
  <c r="K41" i="35"/>
  <c r="K42" i="35"/>
  <c r="K43" i="35"/>
  <c r="K44" i="35"/>
  <c r="K45" i="35"/>
  <c r="K46" i="35"/>
  <c r="K47" i="35"/>
  <c r="K48" i="35"/>
  <c r="K49" i="35"/>
  <c r="K50" i="35"/>
  <c r="K51" i="35"/>
  <c r="K52" i="35"/>
  <c r="K53" i="35"/>
  <c r="K54" i="35"/>
  <c r="K55" i="35"/>
  <c r="K56" i="35"/>
  <c r="K57" i="35"/>
  <c r="K58" i="35"/>
  <c r="K59" i="35"/>
  <c r="K60" i="35"/>
  <c r="K61" i="35"/>
  <c r="K62" i="35"/>
  <c r="K63" i="35"/>
  <c r="K64" i="35"/>
  <c r="K65" i="35"/>
  <c r="K66" i="35"/>
  <c r="K67" i="35"/>
  <c r="K68" i="35"/>
  <c r="K2" i="35"/>
  <c r="J3" i="35"/>
  <c r="J4" i="35"/>
  <c r="J5" i="35"/>
  <c r="J6" i="35"/>
  <c r="J7" i="35"/>
  <c r="J8" i="35"/>
  <c r="J9" i="35"/>
  <c r="J10" i="35"/>
  <c r="J11" i="35"/>
  <c r="J12" i="35"/>
  <c r="J13" i="35"/>
  <c r="J14" i="35"/>
  <c r="J15" i="35"/>
  <c r="J16" i="35"/>
  <c r="J17" i="35"/>
  <c r="J18" i="35"/>
  <c r="J19" i="35"/>
  <c r="J20" i="35"/>
  <c r="J21" i="35"/>
  <c r="J22" i="35"/>
  <c r="J23" i="35"/>
  <c r="J24" i="35"/>
  <c r="J25" i="35"/>
  <c r="J26" i="35"/>
  <c r="J27" i="35"/>
  <c r="J28" i="35"/>
  <c r="J29" i="35"/>
  <c r="J30" i="35"/>
  <c r="J31" i="35"/>
  <c r="J32" i="35"/>
  <c r="J33" i="35"/>
  <c r="J34" i="35"/>
  <c r="J35" i="35"/>
  <c r="J36" i="35"/>
  <c r="J37" i="35"/>
  <c r="J38" i="35"/>
  <c r="J39" i="35"/>
  <c r="J40" i="35"/>
  <c r="J41" i="35"/>
  <c r="J42" i="35"/>
  <c r="J43" i="35"/>
  <c r="J44" i="35"/>
  <c r="J45" i="35"/>
  <c r="J46" i="35"/>
  <c r="J47" i="35"/>
  <c r="J48" i="35"/>
  <c r="J49" i="35"/>
  <c r="J50" i="35"/>
  <c r="J51" i="35"/>
  <c r="J52" i="35"/>
  <c r="J53" i="35"/>
  <c r="J54" i="35"/>
  <c r="J55" i="35"/>
  <c r="J56" i="35"/>
  <c r="J57" i="35"/>
  <c r="J58" i="35"/>
  <c r="J59" i="35"/>
  <c r="J60" i="35"/>
  <c r="J61" i="35"/>
  <c r="J62" i="35"/>
  <c r="J63" i="35"/>
  <c r="J64" i="35"/>
  <c r="J65" i="35"/>
  <c r="J66" i="35"/>
  <c r="J67" i="35"/>
  <c r="J68" i="35"/>
  <c r="J2" i="35"/>
  <c r="I3" i="35"/>
  <c r="I4" i="35"/>
  <c r="I5" i="35"/>
  <c r="I6" i="35"/>
  <c r="I7" i="35"/>
  <c r="I8" i="35"/>
  <c r="I9" i="35"/>
  <c r="I10" i="35"/>
  <c r="I11" i="35"/>
  <c r="I12" i="35"/>
  <c r="I13" i="35"/>
  <c r="I14" i="35"/>
  <c r="I15" i="35"/>
  <c r="I16" i="35"/>
  <c r="I17" i="35"/>
  <c r="I18" i="35"/>
  <c r="I19" i="35"/>
  <c r="I20" i="35"/>
  <c r="I21" i="35"/>
  <c r="I22" i="35"/>
  <c r="I23" i="35"/>
  <c r="I24" i="35"/>
  <c r="I25" i="35"/>
  <c r="I26" i="35"/>
  <c r="I27" i="35"/>
  <c r="I28" i="35"/>
  <c r="I29" i="35"/>
  <c r="I30" i="35"/>
  <c r="I31" i="35"/>
  <c r="I32" i="35"/>
  <c r="I33" i="35"/>
  <c r="I34" i="35"/>
  <c r="I35" i="35"/>
  <c r="I36" i="35"/>
  <c r="I37" i="35"/>
  <c r="I38" i="35"/>
  <c r="I39" i="35"/>
  <c r="I40" i="35"/>
  <c r="I41" i="35"/>
  <c r="I42" i="35"/>
  <c r="I43" i="35"/>
  <c r="I44" i="35"/>
  <c r="I45" i="35"/>
  <c r="I46" i="35"/>
  <c r="I47" i="35"/>
  <c r="I48" i="35"/>
  <c r="I49" i="35"/>
  <c r="I50" i="35"/>
  <c r="I51" i="35"/>
  <c r="I52" i="35"/>
  <c r="I53" i="35"/>
  <c r="I54" i="35"/>
  <c r="I55" i="35"/>
  <c r="I56" i="35"/>
  <c r="I57" i="35"/>
  <c r="I58" i="35"/>
  <c r="I59" i="35"/>
  <c r="I60" i="35"/>
  <c r="I61" i="35"/>
  <c r="I62" i="35"/>
  <c r="I63" i="35"/>
  <c r="I64" i="35"/>
  <c r="I65" i="35"/>
  <c r="I66" i="35"/>
  <c r="I67" i="35"/>
  <c r="I68" i="35"/>
  <c r="I2" i="35"/>
  <c r="D3" i="35"/>
  <c r="E3" i="35"/>
  <c r="F3" i="35"/>
  <c r="G3" i="35"/>
  <c r="H3" i="35"/>
  <c r="D4" i="35"/>
  <c r="E4" i="35"/>
  <c r="F4" i="35"/>
  <c r="G4" i="35"/>
  <c r="H4" i="35"/>
  <c r="D5" i="35"/>
  <c r="E5" i="35"/>
  <c r="F5" i="35"/>
  <c r="G5" i="35"/>
  <c r="H5" i="35"/>
  <c r="D6" i="35"/>
  <c r="E6" i="35"/>
  <c r="F6" i="35"/>
  <c r="G6" i="35"/>
  <c r="H6" i="35"/>
  <c r="D7" i="35"/>
  <c r="E7" i="35"/>
  <c r="F7" i="35"/>
  <c r="G7" i="35"/>
  <c r="H7" i="35"/>
  <c r="D8" i="35"/>
  <c r="E8" i="35"/>
  <c r="F8" i="35"/>
  <c r="G8" i="35"/>
  <c r="H8" i="35"/>
  <c r="D9" i="35"/>
  <c r="E9" i="35"/>
  <c r="F9" i="35"/>
  <c r="G9" i="35"/>
  <c r="H9" i="35"/>
  <c r="D10" i="35"/>
  <c r="E10" i="35"/>
  <c r="F10" i="35"/>
  <c r="G10" i="35"/>
  <c r="H10" i="35"/>
  <c r="D11" i="35"/>
  <c r="E11" i="35"/>
  <c r="F11" i="35"/>
  <c r="G11" i="35"/>
  <c r="H11" i="35"/>
  <c r="D12" i="35"/>
  <c r="E12" i="35"/>
  <c r="F12" i="35"/>
  <c r="G12" i="35"/>
  <c r="H12" i="35"/>
  <c r="D13" i="35"/>
  <c r="E13" i="35"/>
  <c r="F13" i="35"/>
  <c r="G13" i="35"/>
  <c r="H13" i="35"/>
  <c r="D14" i="35"/>
  <c r="E14" i="35"/>
  <c r="F14" i="35"/>
  <c r="G14" i="35"/>
  <c r="H14" i="35"/>
  <c r="D15" i="35"/>
  <c r="E15" i="35"/>
  <c r="F15" i="35"/>
  <c r="G15" i="35"/>
  <c r="H15" i="35"/>
  <c r="D16" i="35"/>
  <c r="E16" i="35"/>
  <c r="F16" i="35"/>
  <c r="G16" i="35"/>
  <c r="H16" i="35"/>
  <c r="D17" i="35"/>
  <c r="E17" i="35"/>
  <c r="F17" i="35"/>
  <c r="G17" i="35"/>
  <c r="H17" i="35"/>
  <c r="D18" i="35"/>
  <c r="E18" i="35"/>
  <c r="F18" i="35"/>
  <c r="G18" i="35"/>
  <c r="H18" i="35"/>
  <c r="D19" i="35"/>
  <c r="E19" i="35"/>
  <c r="F19" i="35"/>
  <c r="G19" i="35"/>
  <c r="H19" i="35"/>
  <c r="D20" i="35"/>
  <c r="E20" i="35"/>
  <c r="F20" i="35"/>
  <c r="G20" i="35"/>
  <c r="H20" i="35"/>
  <c r="D21" i="35"/>
  <c r="E21" i="35"/>
  <c r="F21" i="35"/>
  <c r="G21" i="35"/>
  <c r="H21" i="35"/>
  <c r="D22" i="35"/>
  <c r="E22" i="35"/>
  <c r="F22" i="35"/>
  <c r="G22" i="35"/>
  <c r="H22" i="35"/>
  <c r="D23" i="35"/>
  <c r="E23" i="35"/>
  <c r="F23" i="35"/>
  <c r="G23" i="35"/>
  <c r="H23" i="35"/>
  <c r="D24" i="35"/>
  <c r="E24" i="35"/>
  <c r="F24" i="35"/>
  <c r="G24" i="35"/>
  <c r="H24" i="35"/>
  <c r="D25" i="35"/>
  <c r="E25" i="35"/>
  <c r="F25" i="35"/>
  <c r="G25" i="35"/>
  <c r="H25" i="35"/>
  <c r="D26" i="35"/>
  <c r="E26" i="35"/>
  <c r="F26" i="35"/>
  <c r="G26" i="35"/>
  <c r="H26" i="35"/>
  <c r="D27" i="35"/>
  <c r="E27" i="35"/>
  <c r="F27" i="35"/>
  <c r="G27" i="35"/>
  <c r="H27" i="35"/>
  <c r="D28" i="35"/>
  <c r="E28" i="35"/>
  <c r="F28" i="35"/>
  <c r="G28" i="35"/>
  <c r="H28" i="35"/>
  <c r="D29" i="35"/>
  <c r="E29" i="35"/>
  <c r="F29" i="35"/>
  <c r="G29" i="35"/>
  <c r="H29" i="35"/>
  <c r="D30" i="35"/>
  <c r="E30" i="35"/>
  <c r="F30" i="35"/>
  <c r="G30" i="35"/>
  <c r="H30" i="35"/>
  <c r="D31" i="35"/>
  <c r="E31" i="35"/>
  <c r="F31" i="35"/>
  <c r="G31" i="35"/>
  <c r="H31" i="35"/>
  <c r="D32" i="35"/>
  <c r="E32" i="35"/>
  <c r="F32" i="35"/>
  <c r="G32" i="35"/>
  <c r="H32" i="35"/>
  <c r="D33" i="35"/>
  <c r="E33" i="35"/>
  <c r="F33" i="35"/>
  <c r="G33" i="35"/>
  <c r="H33" i="35"/>
  <c r="D34" i="35"/>
  <c r="E34" i="35"/>
  <c r="F34" i="35"/>
  <c r="G34" i="35"/>
  <c r="H34" i="35"/>
  <c r="D35" i="35"/>
  <c r="E35" i="35"/>
  <c r="F35" i="35"/>
  <c r="G35" i="35"/>
  <c r="H35" i="35"/>
  <c r="D36" i="35"/>
  <c r="E36" i="35"/>
  <c r="F36" i="35"/>
  <c r="G36" i="35"/>
  <c r="H36" i="35"/>
  <c r="D37" i="35"/>
  <c r="E37" i="35"/>
  <c r="F37" i="35"/>
  <c r="G37" i="35"/>
  <c r="H37" i="35"/>
  <c r="D38" i="35"/>
  <c r="E38" i="35"/>
  <c r="F38" i="35"/>
  <c r="G38" i="35"/>
  <c r="H38" i="35"/>
  <c r="D39" i="35"/>
  <c r="E39" i="35"/>
  <c r="F39" i="35"/>
  <c r="G39" i="35"/>
  <c r="H39" i="35"/>
  <c r="D40" i="35"/>
  <c r="E40" i="35"/>
  <c r="F40" i="35"/>
  <c r="G40" i="35"/>
  <c r="H40" i="35"/>
  <c r="D41" i="35"/>
  <c r="E41" i="35"/>
  <c r="F41" i="35"/>
  <c r="G41" i="35"/>
  <c r="H41" i="35"/>
  <c r="D42" i="35"/>
  <c r="E42" i="35"/>
  <c r="F42" i="35"/>
  <c r="G42" i="35"/>
  <c r="H42" i="35"/>
  <c r="D43" i="35"/>
  <c r="E43" i="35"/>
  <c r="F43" i="35"/>
  <c r="G43" i="35"/>
  <c r="H43" i="35"/>
  <c r="D44" i="35"/>
  <c r="E44" i="35"/>
  <c r="F44" i="35"/>
  <c r="G44" i="35"/>
  <c r="H44" i="35"/>
  <c r="D45" i="35"/>
  <c r="E45" i="35"/>
  <c r="F45" i="35"/>
  <c r="G45" i="35"/>
  <c r="H45" i="35"/>
  <c r="D46" i="35"/>
  <c r="E46" i="35"/>
  <c r="F46" i="35"/>
  <c r="G46" i="35"/>
  <c r="H46" i="35"/>
  <c r="D47" i="35"/>
  <c r="E47" i="35"/>
  <c r="F47" i="35"/>
  <c r="G47" i="35"/>
  <c r="H47" i="35"/>
  <c r="D48" i="35"/>
  <c r="E48" i="35"/>
  <c r="F48" i="35"/>
  <c r="G48" i="35"/>
  <c r="H48" i="35"/>
  <c r="D49" i="35"/>
  <c r="E49" i="35"/>
  <c r="F49" i="35"/>
  <c r="G49" i="35"/>
  <c r="H49" i="35"/>
  <c r="D50" i="35"/>
  <c r="E50" i="35"/>
  <c r="F50" i="35"/>
  <c r="G50" i="35"/>
  <c r="H50" i="35"/>
  <c r="D51" i="35"/>
  <c r="E51" i="35"/>
  <c r="F51" i="35"/>
  <c r="G51" i="35"/>
  <c r="H51" i="35"/>
  <c r="D52" i="35"/>
  <c r="E52" i="35"/>
  <c r="F52" i="35"/>
  <c r="G52" i="35"/>
  <c r="H52" i="35"/>
  <c r="D53" i="35"/>
  <c r="E53" i="35"/>
  <c r="F53" i="35"/>
  <c r="G53" i="35"/>
  <c r="H53" i="35"/>
  <c r="D54" i="35"/>
  <c r="E54" i="35"/>
  <c r="F54" i="35"/>
  <c r="G54" i="35"/>
  <c r="H54" i="35"/>
  <c r="D55" i="35"/>
  <c r="E55" i="35"/>
  <c r="F55" i="35"/>
  <c r="G55" i="35"/>
  <c r="H55" i="35"/>
  <c r="D56" i="35"/>
  <c r="E56" i="35"/>
  <c r="F56" i="35"/>
  <c r="G56" i="35"/>
  <c r="H56" i="35"/>
  <c r="D57" i="35"/>
  <c r="E57" i="35"/>
  <c r="F57" i="35"/>
  <c r="G57" i="35"/>
  <c r="H57" i="35"/>
  <c r="D58" i="35"/>
  <c r="E58" i="35"/>
  <c r="F58" i="35"/>
  <c r="G58" i="35"/>
  <c r="H58" i="35"/>
  <c r="D59" i="35"/>
  <c r="E59" i="35"/>
  <c r="F59" i="35"/>
  <c r="G59" i="35"/>
  <c r="H59" i="35"/>
  <c r="D60" i="35"/>
  <c r="E60" i="35"/>
  <c r="F60" i="35"/>
  <c r="G60" i="35"/>
  <c r="H60" i="35"/>
  <c r="D61" i="35"/>
  <c r="E61" i="35"/>
  <c r="F61" i="35"/>
  <c r="G61" i="35"/>
  <c r="H61" i="35"/>
  <c r="D62" i="35"/>
  <c r="E62" i="35"/>
  <c r="F62" i="35"/>
  <c r="G62" i="35"/>
  <c r="H62" i="35"/>
  <c r="D63" i="35"/>
  <c r="E63" i="35"/>
  <c r="F63" i="35"/>
  <c r="G63" i="35"/>
  <c r="H63" i="35"/>
  <c r="D64" i="35"/>
  <c r="E64" i="35"/>
  <c r="F64" i="35"/>
  <c r="G64" i="35"/>
  <c r="H64" i="35"/>
  <c r="D65" i="35"/>
  <c r="E65" i="35"/>
  <c r="F65" i="35"/>
  <c r="G65" i="35"/>
  <c r="H65" i="35"/>
  <c r="D66" i="35"/>
  <c r="E66" i="35"/>
  <c r="F66" i="35"/>
  <c r="G66" i="35"/>
  <c r="H66" i="35"/>
  <c r="D67" i="35"/>
  <c r="E67" i="35"/>
  <c r="F67" i="35"/>
  <c r="G67" i="35"/>
  <c r="H67" i="35"/>
  <c r="D68" i="35"/>
  <c r="E68" i="35"/>
  <c r="F68" i="35"/>
  <c r="G68" i="35"/>
  <c r="H68" i="35"/>
  <c r="H2" i="35"/>
  <c r="G2" i="35"/>
  <c r="F2" i="35"/>
  <c r="E2" i="35"/>
  <c r="D2" i="35"/>
  <c r="G3" i="34" l="1"/>
  <c r="AB24" i="34"/>
  <c r="AA24" i="34"/>
  <c r="AB23" i="34"/>
  <c r="AA23" i="34"/>
  <c r="AB22" i="34"/>
  <c r="AA22" i="34"/>
  <c r="AB21" i="34"/>
  <c r="AA21" i="34"/>
  <c r="AB20" i="34"/>
  <c r="AA20" i="34"/>
  <c r="AB19" i="34"/>
  <c r="AA19" i="34"/>
  <c r="AB18" i="34"/>
  <c r="AA18" i="34"/>
  <c r="AB17" i="34"/>
  <c r="AA17" i="34"/>
  <c r="AB16" i="34"/>
  <c r="AA16" i="34"/>
  <c r="AB15" i="34"/>
  <c r="AA15" i="34"/>
  <c r="AB14" i="34"/>
  <c r="AA14" i="34"/>
  <c r="AB13" i="34"/>
  <c r="AA13" i="34"/>
  <c r="AB12" i="34"/>
  <c r="AA12" i="34"/>
  <c r="AB11" i="34"/>
  <c r="AA11" i="34"/>
  <c r="AB10" i="34"/>
  <c r="AA10" i="34"/>
  <c r="AB9" i="34"/>
  <c r="AA9" i="34"/>
  <c r="AB8" i="34"/>
  <c r="AA8" i="34"/>
  <c r="AB7" i="34"/>
  <c r="AA7" i="34"/>
  <c r="AB6" i="34"/>
  <c r="AA6" i="34"/>
  <c r="AB5" i="34"/>
  <c r="AA5" i="34"/>
  <c r="A8" i="34"/>
  <c r="AA4" i="34"/>
  <c r="J2" i="2"/>
  <c r="J2" i="3"/>
  <c r="O57" i="10"/>
  <c r="O58" i="10"/>
  <c r="R7" i="18"/>
  <c r="T7" i="18" s="1"/>
  <c r="J12" i="3" s="1"/>
  <c r="I4" i="10"/>
  <c r="I5" i="10"/>
  <c r="I6" i="10"/>
  <c r="I8" i="10"/>
  <c r="I10" i="10"/>
  <c r="I11" i="10"/>
  <c r="I12" i="10"/>
  <c r="I13" i="10"/>
  <c r="I14" i="10"/>
  <c r="I15" i="10"/>
  <c r="I16" i="10"/>
  <c r="I17" i="10"/>
  <c r="I18" i="10"/>
  <c r="I19" i="10"/>
  <c r="I20" i="10"/>
  <c r="I21" i="10"/>
  <c r="I22" i="10"/>
  <c r="I23" i="10"/>
  <c r="I24" i="10"/>
  <c r="I25" i="10"/>
  <c r="I26" i="10"/>
  <c r="I27" i="10"/>
  <c r="I28" i="10"/>
  <c r="I29" i="10"/>
  <c r="I30" i="10"/>
  <c r="I31" i="10"/>
  <c r="I32" i="10"/>
  <c r="I33" i="10"/>
  <c r="I34" i="10"/>
  <c r="I35" i="10"/>
  <c r="I36" i="10"/>
  <c r="I37" i="10"/>
  <c r="I38" i="10"/>
  <c r="I39" i="10"/>
  <c r="I40" i="10"/>
  <c r="I41" i="10"/>
  <c r="I42" i="10"/>
  <c r="I43" i="10"/>
  <c r="I44" i="10"/>
  <c r="I45" i="10"/>
  <c r="I46" i="10"/>
  <c r="I47" i="10"/>
  <c r="I48" i="10"/>
  <c r="I49" i="10"/>
  <c r="I50" i="10"/>
  <c r="I51" i="10"/>
  <c r="I52" i="10"/>
  <c r="I53" i="10"/>
  <c r="I54" i="10"/>
  <c r="I55" i="10"/>
  <c r="I56" i="10"/>
  <c r="I57" i="10"/>
  <c r="I58" i="10"/>
  <c r="I3" i="10"/>
  <c r="E4" i="10"/>
  <c r="O4" i="10" s="1"/>
  <c r="E5" i="10"/>
  <c r="O5" i="10" s="1"/>
  <c r="E6" i="10"/>
  <c r="O6" i="10" s="1"/>
  <c r="E7" i="10"/>
  <c r="O7" i="10" s="1"/>
  <c r="E8" i="10"/>
  <c r="O8" i="10" s="1"/>
  <c r="E9" i="10"/>
  <c r="O9" i="10" s="1"/>
  <c r="E10" i="10"/>
  <c r="O10" i="10" s="1"/>
  <c r="E11" i="10"/>
  <c r="O11" i="10" s="1"/>
  <c r="E12" i="10"/>
  <c r="O12" i="10" s="1"/>
  <c r="E13" i="10"/>
  <c r="O13" i="10" s="1"/>
  <c r="E14" i="10"/>
  <c r="O14" i="10" s="1"/>
  <c r="E15" i="10"/>
  <c r="O15" i="10" s="1"/>
  <c r="E16" i="10"/>
  <c r="O16" i="10" s="1"/>
  <c r="E17" i="10"/>
  <c r="O17" i="10" s="1"/>
  <c r="E18" i="10"/>
  <c r="O18" i="10" s="1"/>
  <c r="E19" i="10"/>
  <c r="O19" i="10" s="1"/>
  <c r="E20" i="10"/>
  <c r="O20" i="10" s="1"/>
  <c r="E21" i="10"/>
  <c r="O21" i="10" s="1"/>
  <c r="E22" i="10"/>
  <c r="O22" i="10" s="1"/>
  <c r="E23" i="10"/>
  <c r="O23" i="10" s="1"/>
  <c r="E24" i="10"/>
  <c r="O24" i="10" s="1"/>
  <c r="E25" i="10"/>
  <c r="O25" i="10" s="1"/>
  <c r="E26" i="10"/>
  <c r="O26" i="10" s="1"/>
  <c r="E27" i="10"/>
  <c r="O27" i="10" s="1"/>
  <c r="E28" i="10"/>
  <c r="O28" i="10" s="1"/>
  <c r="E29" i="10"/>
  <c r="O29" i="10" s="1"/>
  <c r="E30" i="10"/>
  <c r="O30" i="10" s="1"/>
  <c r="E31" i="10"/>
  <c r="O31" i="10" s="1"/>
  <c r="E32" i="10"/>
  <c r="O32" i="10" s="1"/>
  <c r="E33" i="10"/>
  <c r="O33" i="10" s="1"/>
  <c r="E34" i="10"/>
  <c r="O34" i="10" s="1"/>
  <c r="E35" i="10"/>
  <c r="O35" i="10" s="1"/>
  <c r="E36" i="10"/>
  <c r="O36" i="10" s="1"/>
  <c r="E37" i="10"/>
  <c r="O37" i="10" s="1"/>
  <c r="E38" i="10"/>
  <c r="O38" i="10" s="1"/>
  <c r="E39" i="10"/>
  <c r="O39" i="10" s="1"/>
  <c r="E40" i="10"/>
  <c r="O40" i="10" s="1"/>
  <c r="E41" i="10"/>
  <c r="O41" i="10" s="1"/>
  <c r="E42" i="10"/>
  <c r="O42" i="10" s="1"/>
  <c r="E43" i="10"/>
  <c r="O43" i="10" s="1"/>
  <c r="E44" i="10"/>
  <c r="O44" i="10" s="1"/>
  <c r="E45" i="10"/>
  <c r="O45" i="10" s="1"/>
  <c r="E46" i="10"/>
  <c r="O46" i="10" s="1"/>
  <c r="E47" i="10"/>
  <c r="O47" i="10" s="1"/>
  <c r="E48" i="10"/>
  <c r="O48" i="10" s="1"/>
  <c r="E49" i="10"/>
  <c r="O49" i="10" s="1"/>
  <c r="E50" i="10"/>
  <c r="O50" i="10" s="1"/>
  <c r="E51" i="10"/>
  <c r="O51" i="10" s="1"/>
  <c r="E52" i="10"/>
  <c r="O52" i="10" s="1"/>
  <c r="E53" i="10"/>
  <c r="O53" i="10" s="1"/>
  <c r="E54" i="10"/>
  <c r="O54" i="10" s="1"/>
  <c r="E55" i="10"/>
  <c r="O55" i="10" s="1"/>
  <c r="E56" i="10"/>
  <c r="O56" i="10" s="1"/>
  <c r="E57" i="10"/>
  <c r="E58" i="10"/>
  <c r="D4" i="10"/>
  <c r="D5" i="10"/>
  <c r="D6" i="10"/>
  <c r="D7" i="10"/>
  <c r="D8" i="10"/>
  <c r="D9" i="10"/>
  <c r="D10" i="10"/>
  <c r="D11" i="10"/>
  <c r="D12" i="10"/>
  <c r="D13" i="10"/>
  <c r="D14" i="10"/>
  <c r="D15" i="10"/>
  <c r="D16" i="10"/>
  <c r="D17" i="10"/>
  <c r="D18" i="10"/>
  <c r="D19" i="10"/>
  <c r="D20" i="10"/>
  <c r="D21" i="10"/>
  <c r="D22" i="10"/>
  <c r="D23" i="10"/>
  <c r="D24" i="10"/>
  <c r="D25" i="10"/>
  <c r="D26" i="10"/>
  <c r="D27" i="10"/>
  <c r="D28" i="10"/>
  <c r="D29" i="10"/>
  <c r="D30" i="10"/>
  <c r="D31" i="10"/>
  <c r="D32" i="10"/>
  <c r="D33" i="10"/>
  <c r="D34" i="10"/>
  <c r="D35" i="10"/>
  <c r="D36" i="10"/>
  <c r="D37" i="10"/>
  <c r="D38" i="10"/>
  <c r="D39" i="10"/>
  <c r="D40" i="10"/>
  <c r="D41" i="10"/>
  <c r="D42" i="10"/>
  <c r="D43" i="10"/>
  <c r="D44" i="10"/>
  <c r="D45" i="10"/>
  <c r="D46" i="10"/>
  <c r="D47" i="10"/>
  <c r="D48" i="10"/>
  <c r="D49" i="10"/>
  <c r="D50" i="10"/>
  <c r="D51" i="10"/>
  <c r="D52" i="10"/>
  <c r="D53" i="10"/>
  <c r="D54" i="10"/>
  <c r="D55" i="10"/>
  <c r="D56" i="10"/>
  <c r="D57" i="10"/>
  <c r="C4" i="10"/>
  <c r="C5" i="10"/>
  <c r="C6" i="10"/>
  <c r="C7" i="10"/>
  <c r="C8" i="10"/>
  <c r="C9" i="10"/>
  <c r="C10" i="10"/>
  <c r="C11" i="10"/>
  <c r="C12" i="10"/>
  <c r="C13" i="10"/>
  <c r="C14" i="10"/>
  <c r="C15" i="10"/>
  <c r="C16" i="10"/>
  <c r="C17" i="10"/>
  <c r="C18" i="10"/>
  <c r="C19" i="10"/>
  <c r="C20" i="10"/>
  <c r="C21" i="10"/>
  <c r="C22" i="10"/>
  <c r="C23" i="10"/>
  <c r="C24" i="10"/>
  <c r="C25" i="10"/>
  <c r="C26" i="10"/>
  <c r="C27" i="10"/>
  <c r="C28" i="10"/>
  <c r="C29" i="10"/>
  <c r="C30" i="10"/>
  <c r="C31" i="10"/>
  <c r="C32" i="10"/>
  <c r="C33" i="10"/>
  <c r="C34" i="10"/>
  <c r="C35" i="10"/>
  <c r="C36" i="10"/>
  <c r="C37" i="10"/>
  <c r="C38" i="10"/>
  <c r="C39" i="10"/>
  <c r="C40" i="10"/>
  <c r="C41" i="10"/>
  <c r="C42" i="10"/>
  <c r="C43" i="10"/>
  <c r="C44" i="10"/>
  <c r="C45" i="10"/>
  <c r="C46" i="10"/>
  <c r="C47" i="10"/>
  <c r="C48" i="10"/>
  <c r="C49" i="10"/>
  <c r="C50" i="10"/>
  <c r="C51" i="10"/>
  <c r="C52" i="10"/>
  <c r="C53" i="10"/>
  <c r="C54" i="10"/>
  <c r="C55" i="10"/>
  <c r="C56" i="10"/>
  <c r="C57" i="10"/>
  <c r="C58" i="10"/>
  <c r="D58" i="10" s="1"/>
  <c r="B4" i="10"/>
  <c r="B5" i="10"/>
  <c r="B6" i="10"/>
  <c r="B7" i="10"/>
  <c r="B8" i="10"/>
  <c r="B9" i="10"/>
  <c r="B10" i="10"/>
  <c r="B11" i="10"/>
  <c r="B12" i="10"/>
  <c r="B13" i="10"/>
  <c r="B14" i="10"/>
  <c r="B15" i="10"/>
  <c r="B16" i="10"/>
  <c r="B17" i="10"/>
  <c r="B18" i="10"/>
  <c r="B19" i="10"/>
  <c r="B20" i="10"/>
  <c r="B21" i="10"/>
  <c r="B22" i="10"/>
  <c r="B23" i="10"/>
  <c r="B24" i="10"/>
  <c r="B25" i="10"/>
  <c r="B26" i="10"/>
  <c r="B27" i="10"/>
  <c r="B28" i="10"/>
  <c r="B29" i="10"/>
  <c r="B30" i="10"/>
  <c r="B31" i="10"/>
  <c r="B32" i="10"/>
  <c r="B33" i="10"/>
  <c r="B34" i="10"/>
  <c r="B35" i="10"/>
  <c r="B36" i="10"/>
  <c r="B37" i="10"/>
  <c r="B38" i="10"/>
  <c r="B39" i="10"/>
  <c r="B40" i="10"/>
  <c r="B41" i="10"/>
  <c r="B42" i="10"/>
  <c r="B43" i="10"/>
  <c r="B44" i="10"/>
  <c r="B45" i="10"/>
  <c r="B46" i="10"/>
  <c r="B47" i="10"/>
  <c r="B48" i="10"/>
  <c r="B49" i="10"/>
  <c r="B50" i="10"/>
  <c r="B51" i="10"/>
  <c r="B52" i="10"/>
  <c r="B53" i="10"/>
  <c r="B54" i="10"/>
  <c r="B55" i="10"/>
  <c r="B56" i="10"/>
  <c r="B57" i="10"/>
  <c r="B58" i="10"/>
  <c r="F5" i="2"/>
  <c r="G5" i="2"/>
  <c r="H5" i="2"/>
  <c r="F6" i="2"/>
  <c r="G6" i="2"/>
  <c r="H6" i="2"/>
  <c r="F7" i="2"/>
  <c r="G7" i="2"/>
  <c r="H7" i="2"/>
  <c r="F8" i="2"/>
  <c r="G8" i="2"/>
  <c r="H8" i="2"/>
  <c r="F9" i="2"/>
  <c r="G9" i="2"/>
  <c r="H9" i="2"/>
  <c r="F10" i="2"/>
  <c r="G10" i="2"/>
  <c r="H10" i="2"/>
  <c r="F11" i="2"/>
  <c r="G11" i="2"/>
  <c r="H11" i="2"/>
  <c r="F12" i="2"/>
  <c r="G12" i="2"/>
  <c r="H12" i="2"/>
  <c r="F13" i="2"/>
  <c r="G13" i="2"/>
  <c r="H13" i="2"/>
  <c r="F14" i="2"/>
  <c r="G14" i="2"/>
  <c r="H14" i="2"/>
  <c r="F15" i="2"/>
  <c r="G15" i="2"/>
  <c r="H15" i="2"/>
  <c r="F16" i="2"/>
  <c r="G16" i="2"/>
  <c r="H16" i="2"/>
  <c r="F17" i="2"/>
  <c r="G17" i="2"/>
  <c r="H17" i="2"/>
  <c r="F18" i="2"/>
  <c r="G18" i="2"/>
  <c r="H18" i="2"/>
  <c r="F19" i="2"/>
  <c r="G19" i="2"/>
  <c r="H19" i="2"/>
  <c r="F20" i="2"/>
  <c r="G20" i="2"/>
  <c r="H20" i="2"/>
  <c r="F21" i="2"/>
  <c r="G21" i="2"/>
  <c r="H21" i="2"/>
  <c r="F22" i="2"/>
  <c r="G22" i="2"/>
  <c r="H22" i="2"/>
  <c r="F23" i="2"/>
  <c r="G23" i="2"/>
  <c r="H23" i="2"/>
  <c r="F24" i="2"/>
  <c r="G24" i="2"/>
  <c r="H24" i="2"/>
  <c r="F25" i="2"/>
  <c r="G25" i="2"/>
  <c r="H25" i="2"/>
  <c r="F26" i="2"/>
  <c r="G26" i="2"/>
  <c r="H26" i="2"/>
  <c r="F27" i="2"/>
  <c r="G27" i="2"/>
  <c r="H27" i="2"/>
  <c r="F28" i="2"/>
  <c r="G28" i="2"/>
  <c r="H28" i="2"/>
  <c r="F29" i="2"/>
  <c r="G29" i="2"/>
  <c r="H29" i="2"/>
  <c r="F30" i="2"/>
  <c r="G30" i="2"/>
  <c r="H30" i="2"/>
  <c r="F31" i="2"/>
  <c r="G31" i="2"/>
  <c r="H31" i="2"/>
  <c r="F32" i="2"/>
  <c r="G32" i="2"/>
  <c r="H32" i="2"/>
  <c r="F33" i="2"/>
  <c r="G33" i="2"/>
  <c r="H33" i="2"/>
  <c r="F34" i="2"/>
  <c r="G34" i="2"/>
  <c r="H34" i="2"/>
  <c r="F35" i="2"/>
  <c r="G35" i="2"/>
  <c r="H35" i="2"/>
  <c r="F36" i="2"/>
  <c r="G36" i="2"/>
  <c r="H36" i="2"/>
  <c r="F37" i="2"/>
  <c r="G37" i="2"/>
  <c r="H37" i="2"/>
  <c r="F38" i="2"/>
  <c r="G38" i="2"/>
  <c r="H38" i="2"/>
  <c r="F39" i="2"/>
  <c r="G39" i="2"/>
  <c r="H39" i="2"/>
  <c r="F40" i="2"/>
  <c r="G40" i="2"/>
  <c r="H40" i="2"/>
  <c r="F41" i="2"/>
  <c r="G41" i="2"/>
  <c r="H41" i="2"/>
  <c r="F42" i="2"/>
  <c r="G42" i="2"/>
  <c r="H42" i="2"/>
  <c r="F43" i="2"/>
  <c r="G43" i="2"/>
  <c r="H43" i="2"/>
  <c r="F44" i="2"/>
  <c r="G44" i="2"/>
  <c r="H44" i="2"/>
  <c r="F45" i="2"/>
  <c r="G45" i="2"/>
  <c r="H45" i="2"/>
  <c r="F46" i="2"/>
  <c r="G46" i="2"/>
  <c r="H46" i="2"/>
  <c r="F47" i="2"/>
  <c r="G47" i="2"/>
  <c r="H47" i="2"/>
  <c r="F48" i="2"/>
  <c r="G48" i="2"/>
  <c r="H48" i="2"/>
  <c r="F49" i="2"/>
  <c r="G49" i="2"/>
  <c r="H49" i="2"/>
  <c r="F50" i="2"/>
  <c r="G50" i="2"/>
  <c r="H50" i="2"/>
  <c r="F51" i="2"/>
  <c r="G51" i="2"/>
  <c r="H51" i="2"/>
  <c r="F52" i="2"/>
  <c r="G52" i="2"/>
  <c r="H52" i="2"/>
  <c r="F53" i="2"/>
  <c r="G53" i="2"/>
  <c r="H53" i="2"/>
  <c r="F54" i="2"/>
  <c r="G54" i="2"/>
  <c r="H54" i="2"/>
  <c r="F55" i="2"/>
  <c r="G55" i="2"/>
  <c r="H55" i="2"/>
  <c r="F56" i="2"/>
  <c r="G56" i="2"/>
  <c r="H56" i="2"/>
  <c r="F57" i="2"/>
  <c r="G57" i="2"/>
  <c r="H57" i="2"/>
  <c r="F58" i="2"/>
  <c r="G58" i="2"/>
  <c r="H58" i="2"/>
  <c r="F59" i="2"/>
  <c r="G59" i="2"/>
  <c r="H59"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R7" i="10"/>
  <c r="T7" i="10" s="1"/>
  <c r="J12" i="2" s="1"/>
  <c r="C204" i="28"/>
  <c r="C202" i="28"/>
  <c r="D202" i="28" s="1"/>
  <c r="C201" i="28"/>
  <c r="D201" i="28" s="1"/>
  <c r="C200" i="28"/>
  <c r="D200" i="28" s="1"/>
  <c r="C199" i="28"/>
  <c r="C198" i="28"/>
  <c r="D198" i="28" s="1"/>
  <c r="C197" i="28"/>
  <c r="C196" i="28"/>
  <c r="D196" i="28" s="1"/>
  <c r="C194" i="28"/>
  <c r="D194" i="28" s="1"/>
  <c r="C193" i="28"/>
  <c r="D193" i="28" s="1"/>
  <c r="C192" i="28"/>
  <c r="C191" i="28"/>
  <c r="D191" i="28" s="1"/>
  <c r="C190" i="28"/>
  <c r="D190" i="28" s="1"/>
  <c r="C189" i="28"/>
  <c r="D189" i="28" s="1"/>
  <c r="C188" i="28"/>
  <c r="D188" i="28" s="1"/>
  <c r="C187" i="28"/>
  <c r="D187" i="28" s="1"/>
  <c r="C186" i="28"/>
  <c r="C185" i="28"/>
  <c r="D185" i="28" s="1"/>
  <c r="C184" i="28"/>
  <c r="D184" i="28" s="1"/>
  <c r="C183" i="28"/>
  <c r="D183" i="28" s="1"/>
  <c r="C182" i="28"/>
  <c r="C181" i="28"/>
  <c r="C180" i="28"/>
  <c r="C179" i="28"/>
  <c r="D179" i="28" s="1"/>
  <c r="C178" i="28"/>
  <c r="D178" i="28" s="1"/>
  <c r="C177" i="28"/>
  <c r="D177" i="28" s="1"/>
  <c r="C176" i="28"/>
  <c r="C175" i="28"/>
  <c r="D171" i="28"/>
  <c r="D170" i="28"/>
  <c r="D169" i="28"/>
  <c r="D168" i="28"/>
  <c r="D167" i="28"/>
  <c r="D166" i="28"/>
  <c r="D165" i="28"/>
  <c r="D164" i="28"/>
  <c r="D163" i="28"/>
  <c r="D162" i="28"/>
  <c r="D161" i="28"/>
  <c r="D160" i="28"/>
  <c r="D159" i="28"/>
  <c r="D158" i="28"/>
  <c r="D156" i="28"/>
  <c r="D155" i="28"/>
  <c r="D154" i="28"/>
  <c r="D153" i="28"/>
  <c r="D152" i="28"/>
  <c r="D151" i="28"/>
  <c r="D150" i="28"/>
  <c r="D149" i="28"/>
  <c r="D148" i="28"/>
  <c r="D147" i="28"/>
  <c r="D145" i="28"/>
  <c r="D144" i="28"/>
  <c r="D143" i="28"/>
  <c r="D142" i="28"/>
  <c r="D141" i="28"/>
  <c r="D140" i="28"/>
  <c r="D139" i="28"/>
  <c r="D138" i="28"/>
  <c r="D137" i="28"/>
  <c r="D136" i="28"/>
  <c r="D113" i="28"/>
  <c r="D112" i="28"/>
  <c r="D111" i="28"/>
  <c r="D110" i="28"/>
  <c r="D109" i="28"/>
  <c r="D108" i="28"/>
  <c r="D107" i="28"/>
  <c r="D106" i="28"/>
  <c r="D105" i="28"/>
  <c r="D104" i="28"/>
  <c r="D103" i="28"/>
  <c r="D102" i="28"/>
  <c r="D101" i="28"/>
  <c r="D100" i="28"/>
  <c r="D99" i="28"/>
  <c r="D98" i="28"/>
  <c r="D97" i="28"/>
  <c r="C93" i="28"/>
  <c r="D93" i="28" s="1"/>
  <c r="C92" i="28"/>
  <c r="D92" i="28" s="1"/>
  <c r="A1" i="15" l="1"/>
  <c r="A1" i="17" l="1"/>
  <c r="P31" i="18"/>
  <c r="P32" i="18"/>
  <c r="P33" i="18"/>
  <c r="P34" i="18"/>
  <c r="P35" i="18"/>
  <c r="P36" i="18"/>
  <c r="P37" i="18"/>
  <c r="P38" i="18"/>
  <c r="P39" i="18"/>
  <c r="P40" i="18"/>
  <c r="P41" i="18"/>
  <c r="P42" i="18"/>
  <c r="P43" i="18"/>
  <c r="P44" i="18"/>
  <c r="P45" i="18"/>
  <c r="P46" i="18"/>
  <c r="P47" i="18"/>
  <c r="P48" i="18"/>
  <c r="P49" i="18"/>
  <c r="P50" i="18"/>
  <c r="P51" i="18"/>
  <c r="P52" i="18"/>
  <c r="P53" i="18"/>
  <c r="P54" i="18"/>
  <c r="P55" i="18"/>
  <c r="P56" i="18"/>
  <c r="O31" i="18"/>
  <c r="O32" i="18"/>
  <c r="O33" i="18"/>
  <c r="O34" i="18"/>
  <c r="O35" i="18"/>
  <c r="O36" i="18"/>
  <c r="O37" i="18"/>
  <c r="O38" i="18"/>
  <c r="O39" i="18"/>
  <c r="O40" i="18"/>
  <c r="O41" i="18"/>
  <c r="O42" i="18"/>
  <c r="O43" i="18"/>
  <c r="O44" i="18"/>
  <c r="O45" i="18"/>
  <c r="O46" i="18"/>
  <c r="O47" i="18"/>
  <c r="O48" i="18"/>
  <c r="O49" i="18"/>
  <c r="O50" i="18"/>
  <c r="O51" i="18"/>
  <c r="O52" i="18"/>
  <c r="O53" i="18"/>
  <c r="O54" i="18"/>
  <c r="O55" i="18"/>
  <c r="O56" i="18"/>
  <c r="F31" i="18"/>
  <c r="G31" i="18"/>
  <c r="F32" i="18"/>
  <c r="G32" i="18"/>
  <c r="F33" i="18"/>
  <c r="G33" i="18"/>
  <c r="F34" i="18"/>
  <c r="G34" i="18"/>
  <c r="F35" i="18"/>
  <c r="G35" i="18"/>
  <c r="F36" i="18"/>
  <c r="G36" i="18"/>
  <c r="F37" i="18"/>
  <c r="G37" i="18"/>
  <c r="F38" i="18"/>
  <c r="G38" i="18"/>
  <c r="F39" i="18"/>
  <c r="G39" i="18"/>
  <c r="F40" i="18"/>
  <c r="G40" i="18"/>
  <c r="F41" i="18"/>
  <c r="G41" i="18"/>
  <c r="F42" i="18"/>
  <c r="G42" i="18"/>
  <c r="F43" i="18"/>
  <c r="G43" i="18"/>
  <c r="F44" i="18"/>
  <c r="G44" i="18"/>
  <c r="F45" i="18"/>
  <c r="G45" i="18"/>
  <c r="F46" i="18"/>
  <c r="G46" i="18"/>
  <c r="F47" i="18"/>
  <c r="G47" i="18"/>
  <c r="F48" i="18"/>
  <c r="G48" i="18"/>
  <c r="F49" i="18"/>
  <c r="G49" i="18"/>
  <c r="F50" i="18"/>
  <c r="G50" i="18"/>
  <c r="B31" i="18"/>
  <c r="C31" i="18"/>
  <c r="D31" i="18"/>
  <c r="B32" i="18"/>
  <c r="C32" i="18"/>
  <c r="D32" i="18"/>
  <c r="B33" i="18"/>
  <c r="C33" i="18"/>
  <c r="D33" i="18"/>
  <c r="B34" i="18"/>
  <c r="C34" i="18"/>
  <c r="D34" i="18"/>
  <c r="B35" i="18"/>
  <c r="C35" i="18"/>
  <c r="D35" i="18"/>
  <c r="B36" i="18"/>
  <c r="C36" i="18"/>
  <c r="D36" i="18"/>
  <c r="B37" i="18"/>
  <c r="C37" i="18"/>
  <c r="D37" i="18"/>
  <c r="B38" i="18"/>
  <c r="C38" i="18"/>
  <c r="D38" i="18"/>
  <c r="B39" i="18"/>
  <c r="C39" i="18"/>
  <c r="D39" i="18"/>
  <c r="B40" i="18"/>
  <c r="C40" i="18"/>
  <c r="D40" i="18"/>
  <c r="B41" i="18"/>
  <c r="C41" i="18"/>
  <c r="D41" i="18"/>
  <c r="B42" i="18"/>
  <c r="C42" i="18"/>
  <c r="D42" i="18"/>
  <c r="B43" i="18"/>
  <c r="C43" i="18"/>
  <c r="D43" i="18"/>
  <c r="B44" i="18"/>
  <c r="C44" i="18"/>
  <c r="D44" i="18"/>
  <c r="B45" i="18"/>
  <c r="C45" i="18"/>
  <c r="D45" i="18"/>
  <c r="B46" i="18"/>
  <c r="C46" i="18"/>
  <c r="D46" i="18"/>
  <c r="B47" i="18"/>
  <c r="C47" i="18"/>
  <c r="D47" i="18"/>
  <c r="B48" i="18"/>
  <c r="C48" i="18"/>
  <c r="D48" i="18"/>
  <c r="B49" i="18"/>
  <c r="C49" i="18"/>
  <c r="D49" i="18"/>
  <c r="B50" i="18"/>
  <c r="C50" i="18"/>
  <c r="D50" i="18"/>
  <c r="F26" i="3"/>
  <c r="G26" i="3"/>
  <c r="H26" i="3"/>
  <c r="F27" i="3"/>
  <c r="G27" i="3"/>
  <c r="H27" i="3"/>
  <c r="F28" i="3"/>
  <c r="G28" i="3"/>
  <c r="H28" i="3"/>
  <c r="F29" i="3"/>
  <c r="G29" i="3"/>
  <c r="H29" i="3"/>
  <c r="F30" i="3"/>
  <c r="G30" i="3"/>
  <c r="H30" i="3"/>
  <c r="F31" i="3"/>
  <c r="G31" i="3"/>
  <c r="H31" i="3"/>
  <c r="F32" i="3"/>
  <c r="G32" i="3"/>
  <c r="H32" i="3"/>
  <c r="F33" i="3"/>
  <c r="G33" i="3"/>
  <c r="H33" i="3"/>
  <c r="F34" i="3"/>
  <c r="G34" i="3"/>
  <c r="H34" i="3"/>
  <c r="F35" i="3"/>
  <c r="G35" i="3"/>
  <c r="H35" i="3"/>
  <c r="F36" i="3"/>
  <c r="G36" i="3"/>
  <c r="H36" i="3"/>
  <c r="F37" i="3"/>
  <c r="G37" i="3"/>
  <c r="H37" i="3"/>
  <c r="F38" i="3"/>
  <c r="G38" i="3"/>
  <c r="H38" i="3"/>
  <c r="F39" i="3"/>
  <c r="G39" i="3"/>
  <c r="H39" i="3"/>
  <c r="F40" i="3"/>
  <c r="G40" i="3"/>
  <c r="H40" i="3"/>
  <c r="F41" i="3"/>
  <c r="G41" i="3"/>
  <c r="H41" i="3"/>
  <c r="F42" i="3"/>
  <c r="G42" i="3"/>
  <c r="H42" i="3"/>
  <c r="F43" i="3"/>
  <c r="G43" i="3"/>
  <c r="H43" i="3"/>
  <c r="F44" i="3"/>
  <c r="G44" i="3"/>
  <c r="H44" i="3"/>
  <c r="F45" i="3"/>
  <c r="G45" i="3"/>
  <c r="H45" i="3"/>
  <c r="F46" i="3"/>
  <c r="G46" i="3"/>
  <c r="H46" i="3"/>
  <c r="F47" i="3"/>
  <c r="G47" i="3"/>
  <c r="H47" i="3"/>
  <c r="F48" i="3"/>
  <c r="G48" i="3"/>
  <c r="H48" i="3"/>
  <c r="F49" i="3"/>
  <c r="G49" i="3"/>
  <c r="H49" i="3"/>
  <c r="F50" i="3"/>
  <c r="G50" i="3"/>
  <c r="H50" i="3"/>
  <c r="F51" i="3"/>
  <c r="G51" i="3"/>
  <c r="H51" i="3"/>
  <c r="D32" i="3"/>
  <c r="D33" i="3"/>
  <c r="D34" i="3"/>
  <c r="D35" i="3"/>
  <c r="D36" i="3"/>
  <c r="D37" i="3"/>
  <c r="D38" i="3"/>
  <c r="D39" i="3"/>
  <c r="D40" i="3"/>
  <c r="D41" i="3"/>
  <c r="D42" i="3"/>
  <c r="D43" i="3"/>
  <c r="D44" i="3"/>
  <c r="D45" i="3"/>
  <c r="D46" i="3"/>
  <c r="D47" i="3"/>
  <c r="D48" i="3"/>
  <c r="D49" i="3"/>
  <c r="D50" i="3"/>
  <c r="D51" i="3"/>
  <c r="A51" i="18"/>
  <c r="A52" i="18"/>
  <c r="A53" i="18"/>
  <c r="A54" i="18"/>
  <c r="A55" i="18"/>
  <c r="A56" i="18"/>
  <c r="A57" i="18"/>
  <c r="B57" i="18"/>
  <c r="C57" i="18"/>
  <c r="E57" i="18"/>
  <c r="O57" i="18" s="1"/>
  <c r="M57" i="18"/>
  <c r="G57" i="18" l="1"/>
  <c r="D57" i="18"/>
  <c r="F57" i="18"/>
  <c r="G58" i="10"/>
  <c r="F58" i="10"/>
  <c r="G57" i="10"/>
  <c r="F57" i="10"/>
  <c r="G56" i="10"/>
  <c r="F56" i="10"/>
  <c r="I57" i="18"/>
  <c r="P57" i="18" s="1"/>
  <c r="N57" i="18"/>
  <c r="V57" i="18" s="1"/>
  <c r="V58" i="10" l="1"/>
  <c r="P58" i="10"/>
  <c r="V57" i="10"/>
  <c r="P57" i="10"/>
  <c r="V56" i="10"/>
  <c r="P56" i="10"/>
  <c r="P12" i="10"/>
  <c r="P55" i="10"/>
  <c r="G55" i="10" l="1"/>
  <c r="F55" i="10"/>
  <c r="V55" i="10"/>
  <c r="V58" i="18" l="1"/>
  <c r="H22" i="3" l="1"/>
  <c r="H23" i="3"/>
  <c r="H24" i="3"/>
  <c r="H25" i="3"/>
  <c r="H52" i="3"/>
  <c r="H53" i="3"/>
  <c r="H54" i="3"/>
  <c r="H55" i="3"/>
  <c r="H56" i="3"/>
  <c r="H57" i="3"/>
  <c r="H58" i="3"/>
  <c r="G22" i="3"/>
  <c r="G23" i="3"/>
  <c r="G24" i="3"/>
  <c r="G25" i="3"/>
  <c r="G52" i="3"/>
  <c r="G53" i="3"/>
  <c r="G54" i="3"/>
  <c r="G55" i="3"/>
  <c r="G56" i="3"/>
  <c r="G57" i="3"/>
  <c r="G58" i="3"/>
  <c r="J6" i="2" l="1"/>
  <c r="J6" i="3"/>
  <c r="H60" i="2" l="1"/>
  <c r="H61" i="2"/>
  <c r="H62" i="2"/>
  <c r="H63" i="2"/>
  <c r="H64" i="2"/>
  <c r="H65" i="2"/>
  <c r="H66" i="2"/>
  <c r="H4" i="2"/>
  <c r="H5" i="3"/>
  <c r="H6" i="3"/>
  <c r="H7" i="3"/>
  <c r="H8" i="3"/>
  <c r="H9" i="3"/>
  <c r="H10" i="3"/>
  <c r="H11" i="3"/>
  <c r="H12" i="3"/>
  <c r="H13" i="3"/>
  <c r="H14" i="3"/>
  <c r="H15" i="3"/>
  <c r="H16" i="3"/>
  <c r="H17" i="3"/>
  <c r="H18" i="3"/>
  <c r="H19" i="3"/>
  <c r="H20" i="3"/>
  <c r="H21" i="3"/>
  <c r="H4" i="3"/>
  <c r="T11" i="10"/>
  <c r="R10" i="10"/>
  <c r="R11" i="10"/>
  <c r="R9" i="10"/>
  <c r="S10" i="10"/>
  <c r="S11" i="10"/>
  <c r="S9" i="10"/>
  <c r="U11" i="10" l="1"/>
  <c r="T11" i="18"/>
  <c r="S11" i="18"/>
  <c r="S10" i="18"/>
  <c r="S9" i="18"/>
  <c r="R11" i="18"/>
  <c r="R10" i="18"/>
  <c r="R9" i="18"/>
  <c r="U11" i="18" l="1"/>
  <c r="E4" i="18"/>
  <c r="E5" i="18"/>
  <c r="E6" i="18"/>
  <c r="E7" i="18"/>
  <c r="E8" i="18"/>
  <c r="E9" i="18"/>
  <c r="E10" i="18"/>
  <c r="E11" i="18"/>
  <c r="F11" i="18" s="1"/>
  <c r="E12" i="18"/>
  <c r="E13" i="18"/>
  <c r="E14" i="18"/>
  <c r="E15" i="18"/>
  <c r="E16" i="18"/>
  <c r="E17" i="18"/>
  <c r="E18" i="18"/>
  <c r="E19" i="18"/>
  <c r="E20" i="18"/>
  <c r="E21" i="18"/>
  <c r="E22" i="18"/>
  <c r="E23" i="18"/>
  <c r="E24" i="18"/>
  <c r="E25" i="18"/>
  <c r="E26" i="18"/>
  <c r="E27" i="18"/>
  <c r="E28" i="18"/>
  <c r="E29" i="18"/>
  <c r="E30" i="18"/>
  <c r="E51" i="18"/>
  <c r="E52" i="18"/>
  <c r="E53" i="18"/>
  <c r="E54" i="18"/>
  <c r="E55" i="18"/>
  <c r="E56" i="18"/>
  <c r="E3" i="18"/>
  <c r="O27" i="18"/>
  <c r="P27" i="18" s="1"/>
  <c r="C4" i="18"/>
  <c r="C5" i="18"/>
  <c r="C6" i="18"/>
  <c r="C7" i="18"/>
  <c r="C8" i="18"/>
  <c r="C9" i="18"/>
  <c r="C10" i="18"/>
  <c r="C11" i="18"/>
  <c r="C12" i="18"/>
  <c r="C13" i="18"/>
  <c r="C14" i="18"/>
  <c r="C15" i="18"/>
  <c r="C16" i="18"/>
  <c r="C17" i="18"/>
  <c r="C18" i="18"/>
  <c r="C19" i="18"/>
  <c r="C20" i="18"/>
  <c r="C21" i="18"/>
  <c r="C22" i="18"/>
  <c r="C23" i="18"/>
  <c r="C24" i="18"/>
  <c r="C25" i="18"/>
  <c r="C26" i="18"/>
  <c r="C27" i="18"/>
  <c r="C28" i="18"/>
  <c r="C29" i="18"/>
  <c r="C30" i="18"/>
  <c r="B28" i="18"/>
  <c r="B29" i="18"/>
  <c r="B30" i="18"/>
  <c r="B4" i="18"/>
  <c r="B5" i="18"/>
  <c r="B6" i="18"/>
  <c r="B7" i="18"/>
  <c r="B8" i="18"/>
  <c r="B9" i="18"/>
  <c r="B10" i="18"/>
  <c r="B11" i="18"/>
  <c r="B12" i="18"/>
  <c r="B13" i="18"/>
  <c r="B14" i="18"/>
  <c r="B15" i="18"/>
  <c r="B16" i="18"/>
  <c r="B17" i="18"/>
  <c r="B18" i="18"/>
  <c r="B19" i="18"/>
  <c r="B20" i="18"/>
  <c r="B21" i="18"/>
  <c r="B22" i="18"/>
  <c r="B23" i="18"/>
  <c r="B24" i="18"/>
  <c r="B25" i="18"/>
  <c r="B26" i="18"/>
  <c r="B27" i="18"/>
  <c r="F12" i="3"/>
  <c r="G12" i="3"/>
  <c r="D12" i="3"/>
  <c r="F10" i="3"/>
  <c r="G10" i="3"/>
  <c r="F11" i="3"/>
  <c r="G11" i="3"/>
  <c r="D10" i="3"/>
  <c r="G8" i="3"/>
  <c r="G9" i="3"/>
  <c r="G13" i="3"/>
  <c r="F8" i="3"/>
  <c r="F9" i="3"/>
  <c r="D8" i="3"/>
  <c r="A8" i="17" l="1" a="1"/>
  <c r="A8" i="17" s="1"/>
  <c r="B8" i="17" a="1"/>
  <c r="B8" i="17" s="1"/>
  <c r="C8" i="17" a="1"/>
  <c r="C8" i="17" s="1"/>
  <c r="D8" i="17" a="1"/>
  <c r="D8" i="17" s="1"/>
  <c r="E8" i="17" a="1"/>
  <c r="E8" i="17" s="1"/>
  <c r="A9" i="17" a="1"/>
  <c r="A9" i="17" s="1"/>
  <c r="B9" i="17" a="1"/>
  <c r="B9" i="17" s="1"/>
  <c r="C9" i="17" a="1"/>
  <c r="C9" i="17" s="1"/>
  <c r="D9" i="17" a="1"/>
  <c r="D9" i="17" s="1"/>
  <c r="E9" i="17" a="1"/>
  <c r="E9" i="17" s="1"/>
  <c r="A10" i="17" a="1"/>
  <c r="A10" i="17" s="1"/>
  <c r="B10" i="17" a="1"/>
  <c r="B10" i="17" s="1"/>
  <c r="C10" i="17" a="1"/>
  <c r="C10" i="17" s="1"/>
  <c r="D10" i="17" a="1"/>
  <c r="D10" i="17" s="1"/>
  <c r="E10" i="17" a="1"/>
  <c r="E10" i="17" s="1"/>
  <c r="A11" i="17" a="1"/>
  <c r="A11" i="17" s="1"/>
  <c r="B11" i="17" a="1"/>
  <c r="B11" i="17" s="1"/>
  <c r="C11" i="17" a="1"/>
  <c r="C11" i="17" s="1"/>
  <c r="D11" i="17" a="1"/>
  <c r="D11" i="17" s="1"/>
  <c r="E11" i="17" a="1"/>
  <c r="E11" i="17" s="1"/>
  <c r="A12" i="17" a="1"/>
  <c r="A12" i="17" s="1"/>
  <c r="B12" i="17" a="1"/>
  <c r="B12" i="17" s="1"/>
  <c r="C12" i="17" a="1"/>
  <c r="C12" i="17" s="1"/>
  <c r="D12" i="17" a="1"/>
  <c r="D12" i="17" s="1"/>
  <c r="E12" i="17" a="1"/>
  <c r="E12" i="17" s="1"/>
  <c r="A13" i="17" a="1"/>
  <c r="A13" i="17" s="1"/>
  <c r="B13" i="17" a="1"/>
  <c r="B13" i="17" s="1"/>
  <c r="C13" i="17" a="1"/>
  <c r="C13" i="17" s="1"/>
  <c r="D13" i="17" a="1"/>
  <c r="D13" i="17" s="1"/>
  <c r="E13" i="17" a="1"/>
  <c r="E13" i="17" s="1"/>
  <c r="A14" i="17" a="1"/>
  <c r="A14" i="17" s="1"/>
  <c r="B14" i="17" a="1"/>
  <c r="B14" i="17" s="1"/>
  <c r="C14" i="17" a="1"/>
  <c r="C14" i="17" s="1"/>
  <c r="D14" i="17" a="1"/>
  <c r="D14" i="17" s="1"/>
  <c r="E14" i="17" a="1"/>
  <c r="E14" i="17" s="1"/>
  <c r="A15" i="17" a="1"/>
  <c r="A15" i="17" s="1"/>
  <c r="B15" i="17" a="1"/>
  <c r="B15" i="17" s="1"/>
  <c r="C15" i="17" a="1"/>
  <c r="C15" i="17" s="1"/>
  <c r="D15" i="17" a="1"/>
  <c r="D15" i="17" s="1"/>
  <c r="E15" i="17" a="1"/>
  <c r="E15" i="17" s="1"/>
  <c r="A16" i="17" a="1"/>
  <c r="A16" i="17" s="1"/>
  <c r="B16" i="17" a="1"/>
  <c r="B16" i="17" s="1"/>
  <c r="C16" i="17" a="1"/>
  <c r="C16" i="17" s="1"/>
  <c r="D16" i="17" a="1"/>
  <c r="D16" i="17" s="1"/>
  <c r="E16" i="17" a="1"/>
  <c r="E16" i="17" s="1"/>
  <c r="A17" i="17" a="1"/>
  <c r="A17" i="17" s="1"/>
  <c r="B17" i="17" a="1"/>
  <c r="B17" i="17" s="1"/>
  <c r="C17" i="17" a="1"/>
  <c r="C17" i="17" s="1"/>
  <c r="D17" i="17" a="1"/>
  <c r="D17" i="17" s="1"/>
  <c r="E17" i="17" a="1"/>
  <c r="E17" i="17" s="1"/>
  <c r="A18" i="17" a="1"/>
  <c r="A18" i="17" s="1"/>
  <c r="B18" i="17" a="1"/>
  <c r="B18" i="17" s="1"/>
  <c r="C18" i="17" a="1"/>
  <c r="C18" i="17" s="1"/>
  <c r="D18" i="17" a="1"/>
  <c r="D18" i="17" s="1"/>
  <c r="E18" i="17" a="1"/>
  <c r="E18" i="17" s="1"/>
  <c r="A19" i="17" a="1"/>
  <c r="A19" i="17" s="1"/>
  <c r="B19" i="17" a="1"/>
  <c r="B19" i="17" s="1"/>
  <c r="C19" i="17" a="1"/>
  <c r="C19" i="17" s="1"/>
  <c r="D19" i="17" a="1"/>
  <c r="D19" i="17" s="1"/>
  <c r="E19" i="17" a="1"/>
  <c r="E19" i="17" s="1"/>
  <c r="A20" i="17" a="1"/>
  <c r="A20" i="17" s="1"/>
  <c r="B20" i="17" a="1"/>
  <c r="B20" i="17" s="1"/>
  <c r="C20" i="17" a="1"/>
  <c r="C20" i="17" s="1"/>
  <c r="D20" i="17" a="1"/>
  <c r="D20" i="17" s="1"/>
  <c r="E20" i="17" a="1"/>
  <c r="E20" i="17" s="1"/>
  <c r="A21" i="17" a="1"/>
  <c r="A21" i="17" s="1"/>
  <c r="B21" i="17" a="1"/>
  <c r="B21" i="17" s="1"/>
  <c r="C21" i="17" a="1"/>
  <c r="C21" i="17" s="1"/>
  <c r="D21" i="17" a="1"/>
  <c r="D21" i="17" s="1"/>
  <c r="E21" i="17" a="1"/>
  <c r="E21" i="17" s="1"/>
  <c r="A22" i="17" a="1"/>
  <c r="A22" i="17" s="1"/>
  <c r="B22" i="17" a="1"/>
  <c r="B22" i="17" s="1"/>
  <c r="C22" i="17" a="1"/>
  <c r="C22" i="17" s="1"/>
  <c r="D22" i="17" a="1"/>
  <c r="D22" i="17" s="1"/>
  <c r="E22" i="17" a="1"/>
  <c r="E22" i="17" s="1"/>
  <c r="A23" i="17" a="1"/>
  <c r="A23" i="17" s="1"/>
  <c r="B23" i="17" a="1"/>
  <c r="B23" i="17" s="1"/>
  <c r="C23" i="17" a="1"/>
  <c r="C23" i="17" s="1"/>
  <c r="D23" i="17" a="1"/>
  <c r="D23" i="17" s="1"/>
  <c r="E23" i="17" a="1"/>
  <c r="E23" i="17" s="1"/>
  <c r="A24" i="17" a="1"/>
  <c r="A24" i="17" s="1"/>
  <c r="B24" i="17" a="1"/>
  <c r="B24" i="17" s="1"/>
  <c r="C24" i="17" a="1"/>
  <c r="C24" i="17" s="1"/>
  <c r="D24" i="17" a="1"/>
  <c r="D24" i="17" s="1"/>
  <c r="E24" i="17" a="1"/>
  <c r="E24" i="17" s="1"/>
  <c r="A25" i="17" a="1"/>
  <c r="A25" i="17" s="1"/>
  <c r="B25" i="17" a="1"/>
  <c r="B25" i="17" s="1"/>
  <c r="C25" i="17" a="1"/>
  <c r="C25" i="17" s="1"/>
  <c r="D25" i="17" a="1"/>
  <c r="D25" i="17" s="1"/>
  <c r="E25" i="17" a="1"/>
  <c r="E25" i="17" s="1"/>
  <c r="A26" i="17" a="1"/>
  <c r="A26" i="17" s="1"/>
  <c r="B26" i="17" a="1"/>
  <c r="B26" i="17" s="1"/>
  <c r="C26" i="17" a="1"/>
  <c r="C26" i="17" s="1"/>
  <c r="D26" i="17" a="1"/>
  <c r="D26" i="17" s="1"/>
  <c r="E26" i="17" a="1"/>
  <c r="E26" i="17" s="1"/>
  <c r="A27" i="17" a="1"/>
  <c r="A27" i="17" s="1"/>
  <c r="B27" i="17" a="1"/>
  <c r="B27" i="17" s="1"/>
  <c r="C27" i="17" a="1"/>
  <c r="C27" i="17" s="1"/>
  <c r="D27" i="17" a="1"/>
  <c r="D27" i="17" s="1"/>
  <c r="E27" i="17" a="1"/>
  <c r="E27" i="17" s="1"/>
  <c r="A28" i="17" a="1"/>
  <c r="A28" i="17" s="1"/>
  <c r="B28" i="17" a="1"/>
  <c r="B28" i="17" s="1"/>
  <c r="C28" i="17" a="1"/>
  <c r="C28" i="17" s="1"/>
  <c r="D28" i="17" a="1"/>
  <c r="D28" i="17" s="1"/>
  <c r="E28" i="17" a="1"/>
  <c r="E28" i="17" s="1"/>
  <c r="A29" i="17" a="1"/>
  <c r="A29" i="17" s="1"/>
  <c r="B29" i="17" a="1"/>
  <c r="B29" i="17" s="1"/>
  <c r="C29" i="17" a="1"/>
  <c r="C29" i="17" s="1"/>
  <c r="D29" i="17" a="1"/>
  <c r="D29" i="17" s="1"/>
  <c r="E29" i="17" a="1"/>
  <c r="E29" i="17" s="1"/>
  <c r="A30" i="17" a="1"/>
  <c r="A30" i="17" s="1"/>
  <c r="B30" i="17" a="1"/>
  <c r="B30" i="17" s="1"/>
  <c r="C30" i="17" a="1"/>
  <c r="C30" i="17" s="1"/>
  <c r="D30" i="17" a="1"/>
  <c r="D30" i="17" s="1"/>
  <c r="E30" i="17" a="1"/>
  <c r="E30" i="17" s="1"/>
  <c r="A31" i="17" a="1"/>
  <c r="A31" i="17" s="1"/>
  <c r="B31" i="17" a="1"/>
  <c r="B31" i="17" s="1"/>
  <c r="C31" i="17" a="1"/>
  <c r="C31" i="17" s="1"/>
  <c r="D31" i="17" a="1"/>
  <c r="D31" i="17" s="1"/>
  <c r="E31" i="17" a="1"/>
  <c r="E31" i="17" s="1"/>
  <c r="A32" i="17" a="1"/>
  <c r="A32" i="17" s="1"/>
  <c r="B32" i="17" a="1"/>
  <c r="B32" i="17" s="1"/>
  <c r="C32" i="17" a="1"/>
  <c r="C32" i="17" s="1"/>
  <c r="D32" i="17" a="1"/>
  <c r="D32" i="17" s="1"/>
  <c r="E32" i="17" a="1"/>
  <c r="E32" i="17" s="1"/>
  <c r="A33" i="17" a="1"/>
  <c r="A33" i="17" s="1"/>
  <c r="B33" i="17" a="1"/>
  <c r="B33" i="17" s="1"/>
  <c r="C33" i="17" a="1"/>
  <c r="C33" i="17" s="1"/>
  <c r="D33" i="17" a="1"/>
  <c r="D33" i="17" s="1"/>
  <c r="E33" i="17" a="1"/>
  <c r="E33" i="17" s="1"/>
  <c r="A34" i="17" a="1"/>
  <c r="A34" i="17" s="1"/>
  <c r="B34" i="17" a="1"/>
  <c r="B34" i="17" s="1"/>
  <c r="C34" i="17" a="1"/>
  <c r="C34" i="17" s="1"/>
  <c r="D34" i="17" a="1"/>
  <c r="D34" i="17" s="1"/>
  <c r="E34" i="17" a="1"/>
  <c r="E34" i="17" s="1"/>
  <c r="A35" i="17" a="1"/>
  <c r="A35" i="17" s="1"/>
  <c r="B35" i="17" a="1"/>
  <c r="B35" i="17" s="1"/>
  <c r="C35" i="17" a="1"/>
  <c r="C35" i="17" s="1"/>
  <c r="D35" i="17" a="1"/>
  <c r="D35" i="17" s="1"/>
  <c r="E35" i="17" a="1"/>
  <c r="E35" i="17" s="1"/>
  <c r="A36" i="17" a="1"/>
  <c r="A36" i="17" s="1"/>
  <c r="B36" i="17" a="1"/>
  <c r="B36" i="17" s="1"/>
  <c r="C36" i="17" a="1"/>
  <c r="C36" i="17" s="1"/>
  <c r="D36" i="17" a="1"/>
  <c r="D36" i="17" s="1"/>
  <c r="E36" i="17" a="1"/>
  <c r="E36" i="17" s="1"/>
  <c r="A37" i="17" a="1"/>
  <c r="A37" i="17" s="1"/>
  <c r="B37" i="17" a="1"/>
  <c r="B37" i="17" s="1"/>
  <c r="C37" i="17" a="1"/>
  <c r="C37" i="17" s="1"/>
  <c r="D37" i="17" a="1"/>
  <c r="D37" i="17" s="1"/>
  <c r="E37" i="17" a="1"/>
  <c r="E37" i="17" s="1"/>
  <c r="A38" i="17" a="1"/>
  <c r="A38" i="17" s="1"/>
  <c r="B38" i="17" a="1"/>
  <c r="B38" i="17" s="1"/>
  <c r="C38" i="17" a="1"/>
  <c r="C38" i="17" s="1"/>
  <c r="D38" i="17" a="1"/>
  <c r="D38" i="17" s="1"/>
  <c r="E38" i="17" a="1"/>
  <c r="E38" i="17" s="1"/>
  <c r="A39" i="17" a="1"/>
  <c r="A39" i="17" s="1"/>
  <c r="B39" i="17" a="1"/>
  <c r="B39" i="17" s="1"/>
  <c r="C39" i="17" a="1"/>
  <c r="C39" i="17" s="1"/>
  <c r="D39" i="17" a="1"/>
  <c r="D39" i="17" s="1"/>
  <c r="E39" i="17" a="1"/>
  <c r="E39" i="17" s="1"/>
  <c r="E7" i="17" a="1"/>
  <c r="E7" i="17" s="1"/>
  <c r="D7" i="17" a="1"/>
  <c r="D7" i="17" s="1"/>
  <c r="C7" i="17" a="1"/>
  <c r="C7" i="17" s="1"/>
  <c r="B7" i="17" a="1"/>
  <c r="B7" i="17" s="1"/>
  <c r="A7" i="17" a="1"/>
  <c r="A7" i="17" s="1"/>
  <c r="O30" i="18"/>
  <c r="P30" i="18" s="1"/>
  <c r="F30" i="18"/>
  <c r="G30" i="18"/>
  <c r="O28" i="18"/>
  <c r="P28" i="18" s="1"/>
  <c r="F28" i="18"/>
  <c r="G28" i="18"/>
  <c r="F27" i="18"/>
  <c r="G27" i="18"/>
  <c r="F19" i="18"/>
  <c r="G19" i="18"/>
  <c r="F17" i="18"/>
  <c r="G17" i="18"/>
  <c r="F16" i="18"/>
  <c r="G16" i="18"/>
  <c r="F14" i="18"/>
  <c r="G14" i="18"/>
  <c r="F10" i="18"/>
  <c r="G10" i="18"/>
  <c r="F5" i="18"/>
  <c r="G5" i="18"/>
  <c r="F8" i="18"/>
  <c r="G8" i="18"/>
  <c r="F6" i="18"/>
  <c r="G6" i="18"/>
  <c r="F20" i="18"/>
  <c r="G20" i="18"/>
  <c r="F18" i="18"/>
  <c r="G18" i="18"/>
  <c r="F15" i="18"/>
  <c r="G15" i="18"/>
  <c r="F29" i="18"/>
  <c r="G29" i="18"/>
  <c r="F25" i="18"/>
  <c r="G25" i="18"/>
  <c r="F23" i="18"/>
  <c r="G23" i="18"/>
  <c r="F22" i="18"/>
  <c r="G22" i="18"/>
  <c r="F21" i="18"/>
  <c r="G21" i="18"/>
  <c r="F13" i="18"/>
  <c r="G13" i="18"/>
  <c r="F26" i="18"/>
  <c r="G26" i="18"/>
  <c r="F7" i="18"/>
  <c r="G7" i="18"/>
  <c r="F12" i="18"/>
  <c r="G12" i="18"/>
  <c r="F24" i="18"/>
  <c r="G24" i="18"/>
  <c r="G11" i="18"/>
  <c r="F9" i="18"/>
  <c r="G9" i="18"/>
  <c r="F4" i="18"/>
  <c r="G4" i="18"/>
  <c r="V27" i="18"/>
  <c r="V28" i="18"/>
  <c r="D26" i="18"/>
  <c r="D11" i="18"/>
  <c r="D18" i="18"/>
  <c r="D10" i="18"/>
  <c r="D19" i="18"/>
  <c r="D17" i="18"/>
  <c r="D9" i="18"/>
  <c r="D30" i="18"/>
  <c r="D29" i="18"/>
  <c r="D25" i="18"/>
  <c r="D28" i="18"/>
  <c r="D23" i="18"/>
  <c r="D15" i="18"/>
  <c r="D7" i="18"/>
  <c r="D22" i="18"/>
  <c r="D14" i="18"/>
  <c r="D6" i="18"/>
  <c r="O29" i="18"/>
  <c r="P29" i="18" s="1"/>
  <c r="D21" i="18"/>
  <c r="D13" i="18"/>
  <c r="D5" i="18"/>
  <c r="D24" i="18"/>
  <c r="D16" i="18"/>
  <c r="D8" i="18"/>
  <c r="D27" i="18"/>
  <c r="D20" i="18"/>
  <c r="D12" i="18"/>
  <c r="D4" i="18"/>
  <c r="F39" i="17" l="1"/>
  <c r="G39" i="17"/>
  <c r="F38" i="17"/>
  <c r="G38" i="17"/>
  <c r="F37" i="17"/>
  <c r="G37" i="17"/>
  <c r="F36" i="17"/>
  <c r="G36" i="17"/>
  <c r="F35" i="17"/>
  <c r="G35" i="17"/>
  <c r="F34" i="17"/>
  <c r="G34" i="17"/>
  <c r="F33" i="17"/>
  <c r="G33" i="17"/>
  <c r="F32" i="17"/>
  <c r="G32" i="17"/>
  <c r="F31" i="17"/>
  <c r="G31" i="17"/>
  <c r="F30" i="17"/>
  <c r="G30" i="17"/>
  <c r="F29" i="17"/>
  <c r="G29" i="17"/>
  <c r="F28" i="17"/>
  <c r="G28" i="17"/>
  <c r="F27" i="17"/>
  <c r="G27" i="17"/>
  <c r="F26" i="17"/>
  <c r="G26" i="17"/>
  <c r="F25" i="17"/>
  <c r="G25" i="17"/>
  <c r="F24" i="17"/>
  <c r="G24" i="17"/>
  <c r="F23" i="17"/>
  <c r="G23" i="17"/>
  <c r="F22" i="17"/>
  <c r="G22" i="17"/>
  <c r="F21" i="17"/>
  <c r="G21" i="17"/>
  <c r="F20" i="17"/>
  <c r="G20" i="17"/>
  <c r="F19" i="17"/>
  <c r="G19" i="17"/>
  <c r="F18" i="17"/>
  <c r="G18" i="17"/>
  <c r="F17" i="17"/>
  <c r="G17" i="17"/>
  <c r="F16" i="17"/>
  <c r="G16" i="17"/>
  <c r="F15" i="17"/>
  <c r="G15" i="17"/>
  <c r="F14" i="17"/>
  <c r="G14" i="17"/>
  <c r="F13" i="17"/>
  <c r="G13" i="17"/>
  <c r="F12" i="17"/>
  <c r="G12" i="17"/>
  <c r="F11" i="17"/>
  <c r="G11" i="17"/>
  <c r="F10" i="17"/>
  <c r="G10" i="17"/>
  <c r="F9" i="17"/>
  <c r="G9" i="17"/>
  <c r="F8" i="17"/>
  <c r="G8" i="17"/>
  <c r="V29" i="18"/>
  <c r="V30" i="18"/>
  <c r="P4" i="10" l="1"/>
  <c r="P5" i="10"/>
  <c r="P6" i="10"/>
  <c r="P7" i="10"/>
  <c r="P8" i="10"/>
  <c r="P9" i="10"/>
  <c r="P10" i="10"/>
  <c r="P11" i="10"/>
  <c r="P13" i="10"/>
  <c r="P14" i="10"/>
  <c r="P15" i="10"/>
  <c r="P16" i="10"/>
  <c r="P17" i="10"/>
  <c r="P18" i="10"/>
  <c r="P19" i="10"/>
  <c r="P20" i="10"/>
  <c r="P21" i="10"/>
  <c r="P22" i="10"/>
  <c r="P23" i="10"/>
  <c r="P24" i="10"/>
  <c r="P25" i="10"/>
  <c r="P26" i="10"/>
  <c r="P27" i="10"/>
  <c r="P28" i="10"/>
  <c r="P29" i="10"/>
  <c r="P30" i="10"/>
  <c r="P32" i="10"/>
  <c r="P33" i="10"/>
  <c r="P34" i="10"/>
  <c r="P35" i="10"/>
  <c r="P36" i="10"/>
  <c r="P37" i="10"/>
  <c r="P38" i="10"/>
  <c r="P39" i="10"/>
  <c r="P40" i="10"/>
  <c r="P41" i="10"/>
  <c r="P42" i="10"/>
  <c r="P43" i="10"/>
  <c r="P44" i="10"/>
  <c r="P45" i="10"/>
  <c r="P46" i="10"/>
  <c r="P47" i="10"/>
  <c r="P48" i="10"/>
  <c r="P49" i="10"/>
  <c r="P50" i="10"/>
  <c r="P51" i="10"/>
  <c r="P52" i="10"/>
  <c r="P53" i="10"/>
  <c r="P54" i="10"/>
  <c r="F42" i="10" l="1"/>
  <c r="F18" i="10"/>
  <c r="F43" i="10"/>
  <c r="P31" i="10"/>
  <c r="G50" i="10"/>
  <c r="G48" i="10"/>
  <c r="G43" i="10"/>
  <c r="G42" i="10"/>
  <c r="G27" i="10"/>
  <c r="G25" i="10"/>
  <c r="G18" i="10"/>
  <c r="G11" i="10"/>
  <c r="F50" i="10"/>
  <c r="F35" i="10"/>
  <c r="G35" i="10"/>
  <c r="F41" i="10"/>
  <c r="G41" i="10"/>
  <c r="G33" i="10"/>
  <c r="F33" i="10"/>
  <c r="F17" i="10"/>
  <c r="G17" i="10"/>
  <c r="G9" i="10"/>
  <c r="F19" i="10"/>
  <c r="G19" i="10"/>
  <c r="G49" i="10"/>
  <c r="F49" i="10"/>
  <c r="G47" i="10"/>
  <c r="F47" i="10"/>
  <c r="F40" i="10"/>
  <c r="G40" i="10"/>
  <c r="G32" i="10"/>
  <c r="F32" i="10"/>
  <c r="F24" i="10"/>
  <c r="G24" i="10"/>
  <c r="F16" i="10"/>
  <c r="G16" i="10"/>
  <c r="G34" i="10"/>
  <c r="F34" i="10"/>
  <c r="F26" i="10"/>
  <c r="G26" i="10"/>
  <c r="F54" i="10"/>
  <c r="G54" i="10"/>
  <c r="G46" i="10"/>
  <c r="F46" i="10"/>
  <c r="G39" i="10"/>
  <c r="F39" i="10"/>
  <c r="F31" i="10"/>
  <c r="G31" i="10"/>
  <c r="G23" i="10"/>
  <c r="F37" i="10"/>
  <c r="F53" i="10"/>
  <c r="G53" i="10"/>
  <c r="F45" i="10"/>
  <c r="G45" i="10"/>
  <c r="F38" i="10"/>
  <c r="G38" i="10"/>
  <c r="G30" i="10"/>
  <c r="F30" i="10"/>
  <c r="G22" i="10"/>
  <c r="F22" i="10"/>
  <c r="F44" i="10"/>
  <c r="G44" i="10"/>
  <c r="G37" i="10"/>
  <c r="F29" i="10"/>
  <c r="G29" i="10"/>
  <c r="F21" i="10"/>
  <c r="G21" i="10"/>
  <c r="F27" i="10"/>
  <c r="F51" i="10"/>
  <c r="G51" i="10"/>
  <c r="G36" i="10"/>
  <c r="F28" i="10"/>
  <c r="G28" i="10"/>
  <c r="G20" i="10"/>
  <c r="F12" i="10"/>
  <c r="G12" i="10"/>
  <c r="F36" i="10"/>
  <c r="F11" i="10"/>
  <c r="F7" i="10"/>
  <c r="G7" i="10"/>
  <c r="G6" i="10"/>
  <c r="F6" i="10"/>
  <c r="F9" i="10"/>
  <c r="F20" i="10"/>
  <c r="F23" i="10"/>
  <c r="F25" i="10"/>
  <c r="F48" i="10"/>
  <c r="G52" i="10"/>
  <c r="F52" i="10"/>
  <c r="F15" i="10"/>
  <c r="G15" i="10"/>
  <c r="F13" i="10"/>
  <c r="G13" i="10"/>
  <c r="G8" i="10"/>
  <c r="F8" i="10"/>
  <c r="G14" i="10"/>
  <c r="F14" i="10"/>
  <c r="F10" i="10"/>
  <c r="G10" i="10"/>
  <c r="F5" i="10"/>
  <c r="G5" i="10"/>
  <c r="F4" i="10"/>
  <c r="G4" i="10"/>
  <c r="A4" i="17" l="1"/>
  <c r="E3" i="17" l="1"/>
  <c r="M52" i="18" l="1"/>
  <c r="M53" i="18"/>
  <c r="M54" i="18"/>
  <c r="M55" i="18"/>
  <c r="M56" i="18"/>
  <c r="M51" i="18"/>
  <c r="C51" i="18" l="1"/>
  <c r="C52" i="18"/>
  <c r="C53" i="18"/>
  <c r="C54" i="18"/>
  <c r="C55" i="18"/>
  <c r="C56" i="18"/>
  <c r="B51" i="18"/>
  <c r="B52" i="18"/>
  <c r="B53" i="18"/>
  <c r="B54" i="18"/>
  <c r="B55" i="18"/>
  <c r="B56" i="18"/>
  <c r="B3" i="18"/>
  <c r="M60" i="10"/>
  <c r="M61" i="10"/>
  <c r="M62" i="10"/>
  <c r="M63" i="10"/>
  <c r="M64" i="10"/>
  <c r="M65" i="10"/>
  <c r="M59" i="10"/>
  <c r="O30" i="17" l="1"/>
  <c r="O32" i="17"/>
  <c r="O29" i="17"/>
  <c r="O33" i="17"/>
  <c r="O34" i="17"/>
  <c r="O31" i="17"/>
  <c r="O28" i="17"/>
  <c r="D52" i="18"/>
  <c r="D56" i="18"/>
  <c r="D55" i="18"/>
  <c r="D54" i="18"/>
  <c r="D53" i="18"/>
  <c r="D51" i="18"/>
  <c r="I1" i="3" l="1"/>
  <c r="I1" i="2"/>
  <c r="I51" i="18"/>
  <c r="O35" i="17" s="1"/>
  <c r="I52" i="18"/>
  <c r="O36" i="17" s="1"/>
  <c r="I53" i="18"/>
  <c r="O37" i="17" s="1"/>
  <c r="I54" i="18"/>
  <c r="O38" i="17" s="1"/>
  <c r="I55" i="18"/>
  <c r="O39" i="17" s="1"/>
  <c r="I56" i="18"/>
  <c r="C3" i="18"/>
  <c r="C65" i="10"/>
  <c r="C59" i="10"/>
  <c r="C60" i="10"/>
  <c r="C61" i="10"/>
  <c r="C62" i="10"/>
  <c r="C63" i="10"/>
  <c r="C64" i="10"/>
  <c r="C3" i="10"/>
  <c r="B59" i="10"/>
  <c r="B60" i="10"/>
  <c r="B61" i="10"/>
  <c r="B62" i="10"/>
  <c r="B63" i="10"/>
  <c r="B64" i="10"/>
  <c r="B65" i="10"/>
  <c r="B3" i="10"/>
  <c r="D3" i="10" l="1"/>
  <c r="J2" i="18"/>
  <c r="V51" i="10"/>
  <c r="V52" i="10"/>
  <c r="V53" i="10"/>
  <c r="E59" i="10"/>
  <c r="O59" i="10" s="1"/>
  <c r="E60" i="10"/>
  <c r="O60" i="10" s="1"/>
  <c r="P60" i="10" s="1"/>
  <c r="E61" i="10"/>
  <c r="O61" i="10" s="1"/>
  <c r="P61" i="10" s="1"/>
  <c r="E62" i="10"/>
  <c r="O62" i="10" s="1"/>
  <c r="P62" i="10" s="1"/>
  <c r="E63" i="10"/>
  <c r="O63" i="10" s="1"/>
  <c r="P63" i="10" s="1"/>
  <c r="E64" i="10"/>
  <c r="O64" i="10" s="1"/>
  <c r="P64" i="10" s="1"/>
  <c r="E65" i="10"/>
  <c r="O65" i="10" l="1"/>
  <c r="V54" i="10"/>
  <c r="O11" i="17"/>
  <c r="O25" i="17"/>
  <c r="O19" i="17"/>
  <c r="O24" i="17"/>
  <c r="O20" i="17"/>
  <c r="O21" i="17"/>
  <c r="O18" i="17"/>
  <c r="O13" i="17"/>
  <c r="O27" i="17"/>
  <c r="O23" i="17"/>
  <c r="O12" i="17"/>
  <c r="O26" i="17"/>
  <c r="O22" i="17"/>
  <c r="G7" i="17"/>
  <c r="O9" i="18" l="1"/>
  <c r="P9" i="18" s="1"/>
  <c r="V9" i="18" l="1"/>
  <c r="N56" i="18" l="1"/>
  <c r="V56" i="18" s="1"/>
  <c r="O16" i="17"/>
  <c r="O17" i="17"/>
  <c r="F56" i="18"/>
  <c r="G56" i="18"/>
  <c r="D65" i="10" l="1"/>
  <c r="F59" i="10"/>
  <c r="G59" i="10"/>
  <c r="F60" i="10"/>
  <c r="G60" i="10"/>
  <c r="F61" i="10"/>
  <c r="G61" i="10"/>
  <c r="F62" i="10"/>
  <c r="G62" i="10"/>
  <c r="F63" i="10"/>
  <c r="G63" i="10"/>
  <c r="F64" i="10"/>
  <c r="G64" i="10"/>
  <c r="F65" i="10"/>
  <c r="G65" i="10"/>
  <c r="D59" i="10" l="1"/>
  <c r="D60" i="10"/>
  <c r="D61" i="10"/>
  <c r="D62" i="10"/>
  <c r="D63" i="10"/>
  <c r="D64" i="10"/>
  <c r="N59" i="10" l="1"/>
  <c r="V59" i="10" s="1"/>
  <c r="I59" i="10"/>
  <c r="P59" i="10" s="1"/>
  <c r="A4" i="15" l="1"/>
  <c r="I2" i="18"/>
  <c r="E3" i="15"/>
  <c r="V22" i="10"/>
  <c r="E3" i="10"/>
  <c r="I2" i="10"/>
  <c r="B10" i="15" l="1" a="1"/>
  <c r="B10" i="15" s="1"/>
  <c r="C13" i="15" a="1"/>
  <c r="C13" i="15" s="1"/>
  <c r="A15" i="15" a="1"/>
  <c r="A15" i="15" s="1"/>
  <c r="D16" i="15" a="1"/>
  <c r="D16" i="15" s="1"/>
  <c r="B18" i="15" a="1"/>
  <c r="B18" i="15" s="1"/>
  <c r="C21" i="15" a="1"/>
  <c r="C21" i="15" s="1"/>
  <c r="A23" i="15" a="1"/>
  <c r="A23" i="15" s="1"/>
  <c r="D24" i="15" a="1"/>
  <c r="D24" i="15" s="1"/>
  <c r="B26" i="15" a="1"/>
  <c r="B26" i="15" s="1"/>
  <c r="C29" i="15" a="1"/>
  <c r="C29" i="15" s="1"/>
  <c r="A31" i="15" a="1"/>
  <c r="A31" i="15" s="1"/>
  <c r="D32" i="15" a="1"/>
  <c r="D32" i="15" s="1"/>
  <c r="B34" i="15" a="1"/>
  <c r="B34" i="15" s="1"/>
  <c r="C37" i="15" a="1"/>
  <c r="C37" i="15" s="1"/>
  <c r="A39" i="15" a="1"/>
  <c r="A39" i="15" s="1"/>
  <c r="C18" i="15" a="1"/>
  <c r="C18" i="15" s="1"/>
  <c r="B23" i="15" a="1"/>
  <c r="B23" i="15" s="1"/>
  <c r="D29" i="15" a="1"/>
  <c r="D29" i="15" s="1"/>
  <c r="A36" i="15" a="1"/>
  <c r="A36" i="15" s="1"/>
  <c r="A25" i="15" a="1"/>
  <c r="A25" i="15" s="1"/>
  <c r="A33" i="15" a="1"/>
  <c r="A33" i="15" s="1"/>
  <c r="D8" i="15" a="1"/>
  <c r="D8" i="15" s="1"/>
  <c r="A8" i="15" a="1"/>
  <c r="A8" i="15" s="1"/>
  <c r="C10" i="15" a="1"/>
  <c r="C10" i="15" s="1"/>
  <c r="A12" i="15" a="1"/>
  <c r="A12" i="15" s="1"/>
  <c r="D13" i="15" a="1"/>
  <c r="D13" i="15" s="1"/>
  <c r="B15" i="15" a="1"/>
  <c r="B15" i="15" s="1"/>
  <c r="A20" i="15" a="1"/>
  <c r="A20" i="15" s="1"/>
  <c r="B31" i="15" a="1"/>
  <c r="B31" i="15" s="1"/>
  <c r="D37" i="15" a="1"/>
  <c r="D37" i="15" s="1"/>
  <c r="B28" i="15" a="1"/>
  <c r="B28" i="15" s="1"/>
  <c r="B36" i="15" a="1"/>
  <c r="B36" i="15" s="1"/>
  <c r="B8" i="15" a="1"/>
  <c r="B8" i="15" s="1"/>
  <c r="D10" i="15" a="1"/>
  <c r="D10" i="15" s="1"/>
  <c r="B12" i="15" a="1"/>
  <c r="B12" i="15" s="1"/>
  <c r="C15" i="15" a="1"/>
  <c r="C15" i="15" s="1"/>
  <c r="A17" i="15" a="1"/>
  <c r="A17" i="15" s="1"/>
  <c r="D18" i="15" a="1"/>
  <c r="D18" i="15" s="1"/>
  <c r="B20" i="15" a="1"/>
  <c r="B20" i="15" s="1"/>
  <c r="C23" i="15" a="1"/>
  <c r="C23" i="15" s="1"/>
  <c r="D26" i="15" a="1"/>
  <c r="D26" i="15" s="1"/>
  <c r="D34" i="15" a="1"/>
  <c r="D34" i="15" s="1"/>
  <c r="A9" i="15" a="1"/>
  <c r="A9" i="15" s="1"/>
  <c r="C12" i="15" a="1"/>
  <c r="C12" i="15" s="1"/>
  <c r="A14" i="15" a="1"/>
  <c r="A14" i="15" s="1"/>
  <c r="D15" i="15" a="1"/>
  <c r="D15" i="15" s="1"/>
  <c r="B17" i="15" a="1"/>
  <c r="B17" i="15" s="1"/>
  <c r="C20" i="15" a="1"/>
  <c r="C20" i="15" s="1"/>
  <c r="A22" i="15" a="1"/>
  <c r="A22" i="15" s="1"/>
  <c r="D23" i="15" a="1"/>
  <c r="D23" i="15" s="1"/>
  <c r="B25" i="15" a="1"/>
  <c r="B25" i="15" s="1"/>
  <c r="C28" i="15" a="1"/>
  <c r="C28" i="15" s="1"/>
  <c r="A30" i="15" a="1"/>
  <c r="A30" i="15" s="1"/>
  <c r="D31" i="15" a="1"/>
  <c r="D31" i="15" s="1"/>
  <c r="B33" i="15" a="1"/>
  <c r="B33" i="15" s="1"/>
  <c r="C36" i="15" a="1"/>
  <c r="C36" i="15" s="1"/>
  <c r="A38" i="15" a="1"/>
  <c r="A38" i="15" s="1"/>
  <c r="D39" i="15" a="1"/>
  <c r="D39" i="15" s="1"/>
  <c r="B38" i="15" a="1"/>
  <c r="B38" i="15" s="1"/>
  <c r="B11" i="15" a="1"/>
  <c r="B11" i="15" s="1"/>
  <c r="C14" i="15" a="1"/>
  <c r="C14" i="15" s="1"/>
  <c r="A16" i="15" a="1"/>
  <c r="A16" i="15" s="1"/>
  <c r="B19" i="15" a="1"/>
  <c r="B19" i="15" s="1"/>
  <c r="C22" i="15" a="1"/>
  <c r="C22" i="15" s="1"/>
  <c r="D25" i="15" a="1"/>
  <c r="D25" i="15" s="1"/>
  <c r="B27" i="15" a="1"/>
  <c r="B27" i="15" s="1"/>
  <c r="C30" i="15" a="1"/>
  <c r="C30" i="15" s="1"/>
  <c r="D33" i="15" a="1"/>
  <c r="D33" i="15" s="1"/>
  <c r="C38" i="15" a="1"/>
  <c r="C38" i="15" s="1"/>
  <c r="B9" i="15" a="1"/>
  <c r="B9" i="15" s="1"/>
  <c r="A11" i="15" a="1"/>
  <c r="A11" i="15" s="1"/>
  <c r="D12" i="15" a="1"/>
  <c r="D12" i="15" s="1"/>
  <c r="B14" i="15" a="1"/>
  <c r="B14" i="15" s="1"/>
  <c r="C17" i="15" a="1"/>
  <c r="C17" i="15" s="1"/>
  <c r="A19" i="15" a="1"/>
  <c r="A19" i="15" s="1"/>
  <c r="D20" i="15" a="1"/>
  <c r="D20" i="15" s="1"/>
  <c r="B22" i="15" a="1"/>
  <c r="B22" i="15" s="1"/>
  <c r="C25" i="15" a="1"/>
  <c r="C25" i="15" s="1"/>
  <c r="A27" i="15" a="1"/>
  <c r="A27" i="15" s="1"/>
  <c r="D28" i="15" a="1"/>
  <c r="D28" i="15" s="1"/>
  <c r="B30" i="15" a="1"/>
  <c r="B30" i="15" s="1"/>
  <c r="C33" i="15" a="1"/>
  <c r="C33" i="15" s="1"/>
  <c r="A35" i="15" a="1"/>
  <c r="A35" i="15" s="1"/>
  <c r="D36" i="15" a="1"/>
  <c r="D36" i="15" s="1"/>
  <c r="D17" i="15" a="1"/>
  <c r="D17" i="15" s="1"/>
  <c r="A24" i="15" a="1"/>
  <c r="A24" i="15" s="1"/>
  <c r="A32" i="15" a="1"/>
  <c r="A32" i="15" s="1"/>
  <c r="B35" i="15" a="1"/>
  <c r="B35" i="15" s="1"/>
  <c r="A7" i="15" a="1"/>
  <c r="A7" i="15" s="1"/>
  <c r="C9" i="15" a="1"/>
  <c r="C9" i="15" s="1"/>
  <c r="D9" i="15" a="1"/>
  <c r="D9" i="15" s="1"/>
  <c r="C11" i="15" a="1"/>
  <c r="C11" i="15" s="1"/>
  <c r="A13" i="15" a="1"/>
  <c r="A13" i="15" s="1"/>
  <c r="D14" i="15" a="1"/>
  <c r="D14" i="15" s="1"/>
  <c r="B16" i="15" a="1"/>
  <c r="B16" i="15" s="1"/>
  <c r="C19" i="15" a="1"/>
  <c r="C19" i="15" s="1"/>
  <c r="A21" i="15" a="1"/>
  <c r="A21" i="15" s="1"/>
  <c r="D22" i="15" a="1"/>
  <c r="D22" i="15" s="1"/>
  <c r="B24" i="15" a="1"/>
  <c r="B24" i="15" s="1"/>
  <c r="C27" i="15" a="1"/>
  <c r="C27" i="15" s="1"/>
  <c r="A29" i="15" a="1"/>
  <c r="A29" i="15" s="1"/>
  <c r="D30" i="15" a="1"/>
  <c r="D30" i="15" s="1"/>
  <c r="B32" i="15" a="1"/>
  <c r="B32" i="15" s="1"/>
  <c r="C35" i="15" a="1"/>
  <c r="C35" i="15" s="1"/>
  <c r="A37" i="15" a="1"/>
  <c r="A37" i="15" s="1"/>
  <c r="D38" i="15" a="1"/>
  <c r="D38" i="15" s="1"/>
  <c r="B7" i="15" a="1"/>
  <c r="B7" i="15" s="1"/>
  <c r="A28" i="15" a="1"/>
  <c r="A28" i="15" s="1"/>
  <c r="C34" i="15" a="1"/>
  <c r="C34" i="15" s="1"/>
  <c r="B39" i="15" a="1"/>
  <c r="B39" i="15" s="1"/>
  <c r="C39" i="15" a="1"/>
  <c r="C39" i="15" s="1"/>
  <c r="A10" i="15" a="1"/>
  <c r="A10" i="15" s="1"/>
  <c r="D11" i="15" a="1"/>
  <c r="D11" i="15" s="1"/>
  <c r="B13" i="15" a="1"/>
  <c r="B13" i="15" s="1"/>
  <c r="C16" i="15" a="1"/>
  <c r="C16" i="15" s="1"/>
  <c r="A18" i="15" a="1"/>
  <c r="A18" i="15" s="1"/>
  <c r="D19" i="15" a="1"/>
  <c r="D19" i="15" s="1"/>
  <c r="B21" i="15" a="1"/>
  <c r="B21" i="15" s="1"/>
  <c r="C24" i="15" a="1"/>
  <c r="C24" i="15" s="1"/>
  <c r="A26" i="15" a="1"/>
  <c r="A26" i="15" s="1"/>
  <c r="D27" i="15" a="1"/>
  <c r="D27" i="15" s="1"/>
  <c r="B29" i="15" a="1"/>
  <c r="B29" i="15" s="1"/>
  <c r="C32" i="15" a="1"/>
  <c r="C32" i="15" s="1"/>
  <c r="A34" i="15" a="1"/>
  <c r="A34" i="15" s="1"/>
  <c r="D35" i="15" a="1"/>
  <c r="D35" i="15" s="1"/>
  <c r="B37" i="15" a="1"/>
  <c r="B37" i="15" s="1"/>
  <c r="D21" i="15" a="1"/>
  <c r="D21" i="15" s="1"/>
  <c r="C26" i="15" a="1"/>
  <c r="C26" i="15" s="1"/>
  <c r="C8" i="15" a="1"/>
  <c r="C8" i="15" s="1"/>
  <c r="C31" i="15" a="1"/>
  <c r="C31" i="15" s="1"/>
  <c r="H55" i="10"/>
  <c r="H58" i="10"/>
  <c r="H57" i="10"/>
  <c r="H56" i="10"/>
  <c r="H57" i="18"/>
  <c r="H5" i="18"/>
  <c r="H6" i="18"/>
  <c r="H7" i="18"/>
  <c r="H8" i="18"/>
  <c r="H9" i="18"/>
  <c r="H10" i="18"/>
  <c r="H11" i="18"/>
  <c r="H12" i="18"/>
  <c r="H13" i="18"/>
  <c r="H14" i="18"/>
  <c r="H15" i="18"/>
  <c r="H16" i="18"/>
  <c r="H17" i="18"/>
  <c r="H18" i="18"/>
  <c r="H19" i="18"/>
  <c r="H20" i="18"/>
  <c r="H21" i="18"/>
  <c r="H22" i="18"/>
  <c r="H23"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4" i="18"/>
  <c r="J2" i="10"/>
  <c r="H11" i="10"/>
  <c r="H19" i="10"/>
  <c r="E19" i="15" s="1" a="1"/>
  <c r="E19" i="15" s="1"/>
  <c r="H27" i="10"/>
  <c r="E27" i="15" s="1" a="1"/>
  <c r="E27" i="15" s="1"/>
  <c r="H35" i="10"/>
  <c r="E35" i="15" s="1" a="1"/>
  <c r="E35" i="15" s="1"/>
  <c r="H43" i="10"/>
  <c r="H50" i="10"/>
  <c r="H51" i="10"/>
  <c r="H18" i="10"/>
  <c r="E18" i="15" s="1" a="1"/>
  <c r="E18" i="15" s="1"/>
  <c r="H26" i="10"/>
  <c r="E26" i="15" s="1" a="1"/>
  <c r="E26" i="15" s="1"/>
  <c r="H42" i="10"/>
  <c r="H49" i="10"/>
  <c r="H5" i="10"/>
  <c r="H44" i="10"/>
  <c r="H8" i="10"/>
  <c r="H6" i="10"/>
  <c r="H14" i="10"/>
  <c r="E14" i="15" s="1" a="1"/>
  <c r="E14" i="15" s="1"/>
  <c r="H22" i="10"/>
  <c r="E22" i="15" s="1" a="1"/>
  <c r="E22" i="15" s="1"/>
  <c r="H30" i="10"/>
  <c r="E30" i="15" s="1" a="1"/>
  <c r="E30" i="15" s="1"/>
  <c r="H38" i="10"/>
  <c r="E38" i="15" s="1" a="1"/>
  <c r="E38" i="15" s="1"/>
  <c r="H45" i="10"/>
  <c r="H53" i="10"/>
  <c r="H12" i="10"/>
  <c r="H15" i="10"/>
  <c r="E15" i="15" s="1" a="1"/>
  <c r="E15" i="15" s="1"/>
  <c r="H31" i="10"/>
  <c r="E31" i="15" s="1" a="1"/>
  <c r="E31" i="15" s="1"/>
  <c r="H54" i="10"/>
  <c r="H10" i="10"/>
  <c r="H21" i="10"/>
  <c r="E21" i="15" s="1" a="1"/>
  <c r="E21" i="15" s="1"/>
  <c r="H16" i="10"/>
  <c r="E16" i="15" s="1" a="1"/>
  <c r="E16" i="15" s="1"/>
  <c r="H32" i="10"/>
  <c r="E32" i="15" s="1" a="1"/>
  <c r="E32" i="15" s="1"/>
  <c r="H9" i="10"/>
  <c r="H17" i="10"/>
  <c r="E17" i="15" s="1" a="1"/>
  <c r="E17" i="15" s="1"/>
  <c r="H25" i="10"/>
  <c r="E25" i="15" s="1" a="1"/>
  <c r="E25" i="15" s="1"/>
  <c r="H33" i="10"/>
  <c r="E33" i="15" s="1" a="1"/>
  <c r="E33" i="15" s="1"/>
  <c r="H41" i="10"/>
  <c r="H48" i="10"/>
  <c r="H4" i="10"/>
  <c r="H20" i="10"/>
  <c r="E20" i="15" s="1" a="1"/>
  <c r="E20" i="15" s="1"/>
  <c r="H28" i="10"/>
  <c r="E28" i="15" s="1" a="1"/>
  <c r="E28" i="15" s="1"/>
  <c r="H36" i="10"/>
  <c r="E36" i="15" s="1" a="1"/>
  <c r="E36" i="15" s="1"/>
  <c r="H7" i="10"/>
  <c r="H23" i="10"/>
  <c r="E23" i="15" s="1" a="1"/>
  <c r="E23" i="15" s="1"/>
  <c r="H39" i="10"/>
  <c r="H46" i="10"/>
  <c r="H34" i="10"/>
  <c r="H13" i="10"/>
  <c r="E13" i="15" s="1" a="1"/>
  <c r="E13" i="15" s="1"/>
  <c r="H29" i="10"/>
  <c r="H37" i="10"/>
  <c r="E37" i="15" s="1" a="1"/>
  <c r="E37" i="15" s="1"/>
  <c r="H52" i="10"/>
  <c r="H24" i="10"/>
  <c r="E24" i="15" s="1" a="1"/>
  <c r="E24" i="15" s="1"/>
  <c r="H40" i="10"/>
  <c r="H47" i="10"/>
  <c r="V46" i="10"/>
  <c r="V45" i="10"/>
  <c r="V47" i="10"/>
  <c r="V14" i="10"/>
  <c r="V43" i="10"/>
  <c r="V42" i="10"/>
  <c r="V8" i="10"/>
  <c r="V29" i="10"/>
  <c r="V26" i="10"/>
  <c r="V19" i="10"/>
  <c r="V17" i="10"/>
  <c r="V13" i="10"/>
  <c r="V41" i="10"/>
  <c r="V40" i="10"/>
  <c r="V34" i="10"/>
  <c r="V44" i="10"/>
  <c r="V31" i="10"/>
  <c r="V27" i="10"/>
  <c r="V50" i="10"/>
  <c r="V49" i="10"/>
  <c r="V48" i="10"/>
  <c r="V20" i="10"/>
  <c r="V11" i="10"/>
  <c r="V12" i="10"/>
  <c r="V15" i="10"/>
  <c r="N64" i="10"/>
  <c r="V64" i="10" s="1"/>
  <c r="N62" i="10"/>
  <c r="V62" i="10" s="1"/>
  <c r="I62" i="10"/>
  <c r="N63" i="10"/>
  <c r="V63" i="10" s="1"/>
  <c r="I64" i="10"/>
  <c r="I63" i="10"/>
  <c r="F54" i="18"/>
  <c r="G54" i="18"/>
  <c r="F51" i="18"/>
  <c r="G51" i="18"/>
  <c r="O19" i="18"/>
  <c r="P19" i="18" s="1"/>
  <c r="O4" i="18"/>
  <c r="P4" i="18" s="1"/>
  <c r="O21" i="18"/>
  <c r="P21" i="18" s="1"/>
  <c r="F53" i="18"/>
  <c r="G53" i="18"/>
  <c r="H52" i="18"/>
  <c r="H54" i="18"/>
  <c r="H55" i="18"/>
  <c r="H56" i="18"/>
  <c r="H51" i="18"/>
  <c r="H53" i="18"/>
  <c r="G52" i="18"/>
  <c r="F52" i="18"/>
  <c r="O26" i="18"/>
  <c r="O25" i="18"/>
  <c r="P25" i="18" s="1"/>
  <c r="O24" i="18"/>
  <c r="P24" i="18" s="1"/>
  <c r="O22" i="18"/>
  <c r="P22" i="18" s="1"/>
  <c r="O18" i="18"/>
  <c r="P18" i="18" s="1"/>
  <c r="O17" i="18"/>
  <c r="P17" i="18" s="1"/>
  <c r="O9" i="17"/>
  <c r="O16" i="18"/>
  <c r="P16" i="18" s="1"/>
  <c r="O14" i="18"/>
  <c r="P14" i="18" s="1"/>
  <c r="O11" i="18"/>
  <c r="P11" i="18" s="1"/>
  <c r="O8" i="18"/>
  <c r="P8" i="18" s="1"/>
  <c r="O7" i="18"/>
  <c r="P7" i="18" s="1"/>
  <c r="F55" i="18"/>
  <c r="G55" i="18"/>
  <c r="O20" i="18"/>
  <c r="P20" i="18" s="1"/>
  <c r="O15" i="18"/>
  <c r="P15" i="18" s="1"/>
  <c r="O13" i="18"/>
  <c r="P13" i="18" s="1"/>
  <c r="O8" i="17"/>
  <c r="O10" i="18"/>
  <c r="P10" i="18" s="1"/>
  <c r="G3" i="18"/>
  <c r="O3" i="18"/>
  <c r="P3" i="18" s="1"/>
  <c r="O23" i="18"/>
  <c r="P23" i="18" s="1"/>
  <c r="O12" i="18"/>
  <c r="P12" i="18" s="1"/>
  <c r="O6" i="18"/>
  <c r="P6" i="18" s="1"/>
  <c r="O5" i="18"/>
  <c r="P5" i="18" s="1"/>
  <c r="H59" i="10"/>
  <c r="H62" i="10"/>
  <c r="H65" i="10"/>
  <c r="H60" i="10"/>
  <c r="H61" i="10"/>
  <c r="H63" i="10"/>
  <c r="H64" i="10"/>
  <c r="D3" i="18"/>
  <c r="H3" i="18"/>
  <c r="F3" i="18"/>
  <c r="H3" i="10"/>
  <c r="I1" i="10"/>
  <c r="O3" i="10"/>
  <c r="G3" i="10"/>
  <c r="F3" i="10"/>
  <c r="I1" i="18"/>
  <c r="V37" i="10"/>
  <c r="G5" i="3"/>
  <c r="G6" i="3"/>
  <c r="G7" i="3"/>
  <c r="G14" i="3"/>
  <c r="G15" i="3"/>
  <c r="G16" i="3"/>
  <c r="G17" i="3"/>
  <c r="G18" i="3"/>
  <c r="G19" i="3"/>
  <c r="G20" i="3"/>
  <c r="G21" i="3"/>
  <c r="F5" i="3"/>
  <c r="F6" i="3"/>
  <c r="F7" i="3"/>
  <c r="F13" i="3"/>
  <c r="F14" i="3"/>
  <c r="F15" i="3"/>
  <c r="F16" i="3"/>
  <c r="F17" i="3"/>
  <c r="F18" i="3"/>
  <c r="F19" i="3"/>
  <c r="F20" i="3"/>
  <c r="F21" i="3"/>
  <c r="F22" i="3"/>
  <c r="F23" i="3"/>
  <c r="F24" i="3"/>
  <c r="F25" i="3"/>
  <c r="F52" i="3"/>
  <c r="F53" i="3"/>
  <c r="F54" i="3"/>
  <c r="F55" i="3"/>
  <c r="F56" i="3"/>
  <c r="F57" i="3"/>
  <c r="F58" i="3"/>
  <c r="B4" i="17"/>
  <c r="D52" i="3"/>
  <c r="D53" i="3"/>
  <c r="D54" i="3"/>
  <c r="D55" i="3"/>
  <c r="D56" i="3"/>
  <c r="D57" i="3"/>
  <c r="D58" i="3"/>
  <c r="G4" i="3"/>
  <c r="F4" i="3"/>
  <c r="B4" i="15"/>
  <c r="G60" i="2"/>
  <c r="G61" i="2"/>
  <c r="G62" i="2"/>
  <c r="G63" i="2"/>
  <c r="G64" i="2"/>
  <c r="G65" i="2"/>
  <c r="G66" i="2"/>
  <c r="F60" i="2"/>
  <c r="F61" i="2"/>
  <c r="F62" i="2"/>
  <c r="F63" i="2"/>
  <c r="F64" i="2"/>
  <c r="F65" i="2"/>
  <c r="F66" i="2"/>
  <c r="G4" i="2"/>
  <c r="F4" i="2"/>
  <c r="E12" i="15" l="1" a="1"/>
  <c r="E12" i="15" s="1"/>
  <c r="E39" i="15" a="1"/>
  <c r="E39" i="15" s="1"/>
  <c r="E11" i="15" a="1"/>
  <c r="E11" i="15" s="1"/>
  <c r="E34" i="15" a="1"/>
  <c r="E34" i="15" s="1"/>
  <c r="E10" i="15" a="1"/>
  <c r="E10" i="15" s="1"/>
  <c r="E29" i="15" a="1"/>
  <c r="E29" i="15" s="1"/>
  <c r="L2" i="3"/>
  <c r="V26" i="18"/>
  <c r="P26" i="18"/>
  <c r="K2" i="2"/>
  <c r="L2" i="2"/>
  <c r="C7" i="15" a="1"/>
  <c r="C7" i="15" s="1"/>
  <c r="D7" i="15" a="1"/>
  <c r="D7" i="15" s="1"/>
  <c r="K2" i="3"/>
  <c r="F36" i="15"/>
  <c r="G36" i="15"/>
  <c r="O36" i="15" s="1"/>
  <c r="F21" i="15"/>
  <c r="G21" i="15"/>
  <c r="O21" i="15" s="1"/>
  <c r="F27" i="15"/>
  <c r="G27" i="15"/>
  <c r="O27" i="15" s="1"/>
  <c r="F14" i="15"/>
  <c r="G14" i="15"/>
  <c r="O14" i="15" s="1"/>
  <c r="F32" i="15"/>
  <c r="G32" i="15"/>
  <c r="O32" i="15" s="1"/>
  <c r="F38" i="15"/>
  <c r="G38" i="15"/>
  <c r="O38" i="15" s="1"/>
  <c r="F12" i="15"/>
  <c r="G12" i="15"/>
  <c r="O12" i="15" s="1"/>
  <c r="G31" i="15"/>
  <c r="O31" i="15" s="1"/>
  <c r="F31" i="15"/>
  <c r="F29" i="15"/>
  <c r="G29" i="15"/>
  <c r="O29" i="15" s="1"/>
  <c r="F34" i="15"/>
  <c r="G34" i="15"/>
  <c r="O34" i="15" s="1"/>
  <c r="F18" i="15"/>
  <c r="G18" i="15"/>
  <c r="O18" i="15" s="1"/>
  <c r="F11" i="15"/>
  <c r="G11" i="15"/>
  <c r="O11" i="15" s="1"/>
  <c r="F17" i="15"/>
  <c r="G17" i="15"/>
  <c r="O17" i="15" s="1"/>
  <c r="F9" i="15"/>
  <c r="G9" i="15"/>
  <c r="F8" i="15"/>
  <c r="G8" i="15"/>
  <c r="F15" i="15"/>
  <c r="G15" i="15"/>
  <c r="O15" i="15" s="1"/>
  <c r="F26" i="15"/>
  <c r="G26" i="15"/>
  <c r="O26" i="15" s="1"/>
  <c r="F39" i="15"/>
  <c r="G39" i="15"/>
  <c r="O39" i="15" s="1"/>
  <c r="F28" i="15"/>
  <c r="G28" i="15"/>
  <c r="O28" i="15" s="1"/>
  <c r="F16" i="15"/>
  <c r="G16" i="15"/>
  <c r="O16" i="15" s="1"/>
  <c r="G13" i="15"/>
  <c r="O13" i="15" s="1"/>
  <c r="F13" i="15"/>
  <c r="F24" i="15"/>
  <c r="G24" i="15"/>
  <c r="O24" i="15" s="1"/>
  <c r="F19" i="15"/>
  <c r="G19" i="15"/>
  <c r="O19" i="15" s="1"/>
  <c r="F20" i="15"/>
  <c r="G20" i="15"/>
  <c r="O20" i="15" s="1"/>
  <c r="F33" i="15"/>
  <c r="G33" i="15"/>
  <c r="O33" i="15" s="1"/>
  <c r="G35" i="15"/>
  <c r="O35" i="15" s="1"/>
  <c r="F35" i="15"/>
  <c r="F22" i="15"/>
  <c r="G22" i="15"/>
  <c r="O22" i="15" s="1"/>
  <c r="F10" i="15"/>
  <c r="G10" i="15"/>
  <c r="O10" i="15" s="1"/>
  <c r="F37" i="15"/>
  <c r="G37" i="15"/>
  <c r="O37" i="15" s="1"/>
  <c r="F30" i="15"/>
  <c r="G30" i="15"/>
  <c r="O30" i="15" s="1"/>
  <c r="G25" i="15"/>
  <c r="O25" i="15" s="1"/>
  <c r="F25" i="15"/>
  <c r="F23" i="15"/>
  <c r="G23" i="15"/>
  <c r="O23" i="15" s="1"/>
  <c r="E9" i="15" a="1"/>
  <c r="E9" i="15" s="1"/>
  <c r="E7" i="15" a="1"/>
  <c r="E7" i="15" s="1"/>
  <c r="E8" i="15" a="1"/>
  <c r="E8" i="15" s="1"/>
  <c r="O10" i="17"/>
  <c r="O7" i="17"/>
  <c r="R4" i="18"/>
  <c r="F7" i="17"/>
  <c r="E4" i="17" s="1"/>
  <c r="R5" i="18"/>
  <c r="Q3" i="18"/>
  <c r="V16" i="10"/>
  <c r="V28" i="10"/>
  <c r="V5" i="10"/>
  <c r="V38" i="10"/>
  <c r="V32" i="10"/>
  <c r="V7" i="10"/>
  <c r="V4" i="10"/>
  <c r="V18" i="10"/>
  <c r="V39" i="10"/>
  <c r="V6" i="10"/>
  <c r="V30" i="10"/>
  <c r="V10" i="10"/>
  <c r="V33" i="10"/>
  <c r="V36" i="10"/>
  <c r="V21" i="10"/>
  <c r="V24" i="10"/>
  <c r="V9" i="10"/>
  <c r="V23" i="10"/>
  <c r="V25" i="10"/>
  <c r="F7" i="15"/>
  <c r="V35" i="10"/>
  <c r="R5" i="10"/>
  <c r="Q3" i="10"/>
  <c r="P3" i="10"/>
  <c r="R4" i="10"/>
  <c r="V23" i="18"/>
  <c r="V20" i="18"/>
  <c r="V21" i="18"/>
  <c r="V16" i="18"/>
  <c r="V19" i="18"/>
  <c r="V18" i="18"/>
  <c r="V22" i="18"/>
  <c r="V17" i="18"/>
  <c r="N60" i="10"/>
  <c r="V60" i="10" s="1"/>
  <c r="N61" i="10"/>
  <c r="V61" i="10" s="1"/>
  <c r="I61" i="10"/>
  <c r="N65" i="10"/>
  <c r="V65" i="10" s="1"/>
  <c r="V15" i="18"/>
  <c r="V6" i="18"/>
  <c r="V7" i="18"/>
  <c r="V14" i="18"/>
  <c r="V13" i="18"/>
  <c r="V12" i="18"/>
  <c r="V11" i="18"/>
  <c r="V10" i="18"/>
  <c r="V4" i="18"/>
  <c r="V25" i="18"/>
  <c r="V24" i="18"/>
  <c r="N51" i="18"/>
  <c r="V51" i="18" s="1"/>
  <c r="N54" i="18"/>
  <c r="V54" i="18" s="1"/>
  <c r="N53" i="18"/>
  <c r="V53" i="18" s="1"/>
  <c r="N52" i="18"/>
  <c r="V52" i="18" s="1"/>
  <c r="N55" i="18"/>
  <c r="V55" i="18" s="1"/>
  <c r="O15" i="17"/>
  <c r="I60" i="10"/>
  <c r="I65" i="10"/>
  <c r="P65" i="10" s="1"/>
  <c r="L2" i="18"/>
  <c r="K2" i="18"/>
  <c r="T3" i="18"/>
  <c r="V3" i="18"/>
  <c r="V8" i="18"/>
  <c r="V5" i="18"/>
  <c r="V3" i="10"/>
  <c r="T3" i="10"/>
  <c r="L2" i="10"/>
  <c r="K2" i="10"/>
  <c r="E4" i="15" l="1"/>
  <c r="O9" i="15"/>
  <c r="O8" i="15"/>
  <c r="U3" i="10"/>
  <c r="U3" i="18"/>
  <c r="S3" i="10" a="1"/>
  <c r="S3" i="10" s="1"/>
  <c r="G7" i="15"/>
  <c r="O7" i="15" s="1"/>
  <c r="R3" i="18"/>
  <c r="R3" i="10"/>
  <c r="O14" i="17"/>
  <c r="D63" i="2"/>
  <c r="D64" i="2"/>
  <c r="D65" i="2"/>
  <c r="D66" i="2"/>
  <c r="D60" i="2"/>
  <c r="D61" i="2"/>
  <c r="D62" i="2"/>
  <c r="O40" i="15" l="1"/>
  <c r="J4" i="17"/>
  <c r="Z8" i="18"/>
  <c r="Z9" i="10"/>
  <c r="Z7" i="10"/>
  <c r="Z6" i="10"/>
  <c r="Z5" i="10"/>
  <c r="Z4" i="10"/>
  <c r="Z3" i="10"/>
  <c r="S3" i="18" a="1"/>
  <c r="S3" i="18" s="1"/>
  <c r="J4" i="15"/>
  <c r="Z8" i="10"/>
  <c r="D31" i="3"/>
  <c r="D30" i="3"/>
  <c r="D27" i="3"/>
  <c r="D16" i="3"/>
  <c r="D15" i="3"/>
  <c r="D17" i="3"/>
  <c r="D7" i="3"/>
  <c r="D6" i="3"/>
  <c r="D4" i="3"/>
  <c r="Z9" i="18" l="1"/>
  <c r="Z7" i="18"/>
  <c r="Z6" i="18"/>
  <c r="Z5" i="18"/>
  <c r="Z4" i="18"/>
  <c r="Z3" i="18"/>
  <c r="Z10" i="10"/>
  <c r="F4" i="15" l="1"/>
  <c r="Z10" i="18"/>
  <c r="F4" i="17" s="1"/>
  <c r="D4" i="2"/>
  <c r="D4" i="17" l="1"/>
  <c r="C4" i="17"/>
  <c r="D29" i="3"/>
  <c r="D28" i="3"/>
  <c r="D26" i="3"/>
  <c r="D25" i="3"/>
  <c r="D24" i="3"/>
  <c r="D23" i="3"/>
  <c r="D22" i="3"/>
  <c r="D21" i="3"/>
  <c r="D20" i="3"/>
  <c r="D19" i="3"/>
  <c r="D18" i="3"/>
  <c r="D14" i="3"/>
  <c r="D13" i="3"/>
  <c r="D11" i="3"/>
  <c r="D9" i="3"/>
  <c r="D5" i="3"/>
  <c r="D4" i="15"/>
  <c r="P40" i="15" s="1"/>
  <c r="H4" i="15" s="1"/>
  <c r="C4" i="15"/>
  <c r="L3" i="2" l="1"/>
  <c r="M3" i="2" s="1"/>
  <c r="J8" i="15"/>
  <c r="K4" i="10"/>
  <c r="Q9" i="10" l="1"/>
  <c r="T9" i="10" s="1"/>
  <c r="T13" i="10" s="1"/>
  <c r="Q10" i="10"/>
  <c r="T10" i="10" s="1"/>
  <c r="T12" i="10" s="1"/>
  <c r="U10" i="10" l="1"/>
  <c r="U12" i="10" s="1"/>
  <c r="L10" i="2" s="1"/>
  <c r="U9" i="10"/>
  <c r="U13" i="10" s="1"/>
  <c r="O40" i="17"/>
  <c r="I9" i="15" l="1"/>
  <c r="L8" i="2"/>
  <c r="P40" i="17"/>
  <c r="H4" i="17" s="1"/>
  <c r="J7" i="17" s="1"/>
  <c r="I7" i="15" l="1"/>
  <c r="L3" i="3"/>
  <c r="M3" i="3" s="1"/>
  <c r="K4" i="18" l="1"/>
  <c r="Q10" i="18" s="1"/>
  <c r="T10" i="18" s="1"/>
  <c r="T12" i="18" s="1"/>
  <c r="U10" i="18" l="1"/>
  <c r="U12" i="18" s="1"/>
  <c r="L10" i="3" s="1"/>
  <c r="I9" i="17" s="1"/>
  <c r="Q9" i="18"/>
  <c r="U9" i="18" l="1"/>
  <c r="U13" i="18" s="1"/>
  <c r="T9" i="18"/>
  <c r="T13" i="18" s="1"/>
  <c r="L8" i="3" l="1"/>
  <c r="I7" i="17" s="1"/>
  <c r="AD4" i="34" a="1"/>
  <c r="AD4" i="34"/>
  <c r="A7" i="3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Kriegner-Schramml Simon</author>
  </authors>
  <commentList>
    <comment ref="E3" authorId="0" shapeId="0" xr:uid="{DDB13A71-1407-482C-AC10-029EFF740CC4}">
      <text>
        <r>
          <rPr>
            <b/>
            <sz val="10"/>
            <color indexed="81"/>
            <rFont val="Segoe UI"/>
            <family val="2"/>
          </rPr>
          <t>Zur Biofumigation geeignet; gute Deckung uns Äsung für Wild; anspruchslos; blattreich</t>
        </r>
      </text>
    </comment>
    <comment ref="F3" authorId="0" shapeId="0" xr:uid="{DD4CADE8-00BE-41CA-A400-B45882AC678A}">
      <text>
        <r>
          <rPr>
            <b/>
            <sz val="10"/>
            <color indexed="81"/>
            <rFont val="Segoe UI"/>
            <family val="2"/>
          </rPr>
          <t>bevorzugt feuchtes Klimaund tiefgründige, kalkreiche Böden, kräftige Pfahlwurzel mit vielen kurzen Seitenwurzeln;
Empfohlene Mengen in Mischungen je ha: 20 bis 40 kg</t>
        </r>
      </text>
    </comment>
    <comment ref="G3" authorId="0" shapeId="0" xr:uid="{348EFFF8-CEAA-48CD-93C1-A503EB1E49C0}">
      <text>
        <r>
          <rPr>
            <b/>
            <sz val="10"/>
            <color indexed="81"/>
            <rFont val="Segoe UI"/>
            <family val="2"/>
          </rPr>
          <t>hohes Nachwuchsvermögen; im Gemenge mit Gräsern anbauen;gute Bienenweide, gleichmäßige und tiefreichende Durchwurzelung (guter Bodenaufschluss), meist abfrostend;
Empfohlene Mengen in Mischungen je ha: 6 bis 8 kg</t>
        </r>
        <r>
          <rPr>
            <sz val="9"/>
            <color indexed="81"/>
            <rFont val="Segoe UI"/>
            <family val="2"/>
          </rPr>
          <t xml:space="preserve">
</t>
        </r>
      </text>
    </comment>
    <comment ref="H3" authorId="0" shapeId="0" xr:uid="{BACFD647-C2B4-4275-9871-35F4815AE99F}">
      <text>
        <r>
          <rPr>
            <b/>
            <sz val="10"/>
            <color indexed="81"/>
            <rFont val="Segoe UI"/>
            <family val="2"/>
          </rPr>
          <t>2- bis mehrjährig, hoher Grünmasseertrag bei guter Nährstoffversorgung</t>
        </r>
        <r>
          <rPr>
            <sz val="9"/>
            <color indexed="81"/>
            <rFont val="Segoe UI"/>
            <family val="2"/>
          </rPr>
          <t xml:space="preserve">
</t>
        </r>
      </text>
    </comment>
    <comment ref="I3" authorId="0" shapeId="0" xr:uid="{64B8AF3A-F89B-4D0B-855F-C93388065A75}">
      <text>
        <r>
          <rPr>
            <b/>
            <sz val="9"/>
            <color indexed="81"/>
            <rFont val="Segoe UI"/>
            <family val="2"/>
          </rPr>
          <t>bitterstoffhältig, sehr gut geeignet als Begrünungspflanze in Mischungen, kräftige Pfahlwurzel, geringe Standortsansprüche (leicht saurer pH-Wert)</t>
        </r>
      </text>
    </comment>
    <comment ref="K3" authorId="0" shapeId="0" xr:uid="{89757AF6-1C15-4004-87A2-06E4A3B08297}">
      <text>
        <r>
          <rPr>
            <b/>
            <sz val="10"/>
            <color indexed="81"/>
            <rFont val="Segoe UI"/>
            <family val="2"/>
          </rPr>
          <t>schnellwüchsig - Ca. 6-8 Wochen nach der Aussaat schnittreif,sehr hoher Futterertrag; hoher Energiegehalt und gut silierbar, nematodenneutral; bei Nutzung vor Beginn des Ährenschiebens (einjährig); ideal im Gemenge mit Alexandrinerklee und/oder Persischem Klee</t>
        </r>
      </text>
    </comment>
    <comment ref="L3" authorId="0" shapeId="0" xr:uid="{1F7AC3D5-5153-4BBC-8B69-59335AFACC13}">
      <text>
        <r>
          <rPr>
            <b/>
            <sz val="10"/>
            <color indexed="81"/>
            <rFont val="Segoe UI"/>
            <family val="2"/>
          </rPr>
          <t>Ausdauerndste Form der Raygräser, mehrjährig, kein Sklerotiniaüberträger, intensive Durchwurzelung der oberen Bodenschicht</t>
        </r>
      </text>
    </comment>
    <comment ref="M3" authorId="0" shapeId="0" xr:uid="{07B20736-B6A7-41B7-B466-613629E05C3B}">
      <text>
        <r>
          <rPr>
            <b/>
            <sz val="9"/>
            <color indexed="81"/>
            <rFont val="Segoe UI"/>
            <family val="2"/>
          </rPr>
          <t>sehr gute Gründüngungspflanze, wenn sie mehrere Jahre auf dem gleichen Standort stehen kann, sehr gute Durchwurzelung des Oberbodens, Pflanze ist klimaunempfindlich, kalkreiche Böden notwendig</t>
        </r>
        <r>
          <rPr>
            <sz val="9"/>
            <color indexed="81"/>
            <rFont val="Segoe UI"/>
            <family val="2"/>
          </rPr>
          <t xml:space="preserve">
</t>
        </r>
      </text>
    </comment>
    <comment ref="N3" authorId="0" shapeId="0" xr:uid="{AC36BCCB-054B-4235-8CA0-292A16617FBC}">
      <text>
        <r>
          <rPr>
            <b/>
            <sz val="10"/>
            <color indexed="81"/>
            <rFont val="Segoe UI"/>
            <family val="2"/>
          </rPr>
          <t>Eiweißreiches Grünfutter - erntereif zur Grünverfütterung nach Erreichen der Vollblüte, sobald die untersten Hülsen ausgebildet sind, Anbau mit Stützfrucht</t>
        </r>
      </text>
    </comment>
    <comment ref="O3" authorId="0" shapeId="0" xr:uid="{565022CA-680E-4DE5-9DF3-30F29C0B1B92}">
      <text>
        <r>
          <rPr>
            <b/>
            <sz val="10"/>
            <color indexed="81"/>
            <rFont val="Segoe UI"/>
            <family val="2"/>
          </rPr>
          <t>Gutes Futter, speziell für Wild sehr gut geeignet; hohe Winterfestigkeit, aber nicht mehrjährig</t>
        </r>
      </text>
    </comment>
    <comment ref="P3" authorId="0" shapeId="0" xr:uid="{30D0BBF3-4549-4BD3-92A8-795C3771CFB8}">
      <text>
        <r>
          <rPr>
            <b/>
            <sz val="10"/>
            <color indexed="81"/>
            <rFont val="Segoe UI"/>
            <family val="2"/>
          </rPr>
          <t>Leguminose, für magere Böden, anspruchslos, trockenresistent, eher niederliegend - nur im Gemenge sinnvoll</t>
        </r>
      </text>
    </comment>
    <comment ref="Q3" authorId="0" shapeId="0" xr:uid="{7248CAD8-70FF-4894-969A-3A5A3EEECC1B}">
      <text>
        <r>
          <rPr>
            <b/>
            <sz val="10"/>
            <color indexed="81"/>
            <rFont val="Segoe UI"/>
            <family val="2"/>
          </rPr>
          <t>anspruchslos, raschwüchsig, geeignet für Futternutzung, spätsaatverträglich! gute Frühjahrsschnitte (vor Maisanbau möglich)</t>
        </r>
      </text>
    </comment>
    <comment ref="T3" authorId="0" shapeId="0" xr:uid="{5E15B1AB-F835-4004-951A-7105CA606402}">
      <text>
        <r>
          <rPr>
            <b/>
            <sz val="10"/>
            <color indexed="81"/>
            <rFont val="Segoe UI"/>
            <family val="2"/>
          </rPr>
          <t>Gegen Kälte und Trockenheit sehr widerstandsfähig. Kalkhaltige und trockene Standorte bevorzugt. Pfahlwurzel mit verzweigten Seiten- und vielen Feinwurzeln; niedriger Wuchs; sehr ausdauernd; nur im Gemenge sinnvoll</t>
        </r>
      </text>
    </comment>
    <comment ref="U3" authorId="0" shapeId="0" xr:uid="{562923A9-C50F-46F1-A0B6-D86FBBC58688}">
      <text>
        <r>
          <rPr>
            <b/>
            <sz val="10"/>
            <color indexed="81"/>
            <rFont val="Segoe UI"/>
            <family val="2"/>
          </rPr>
          <t>Leguminose, spätsaatverträglich, raschwüchsig, gute Unkrautunterdrückung, gute Vorfruchtwirkung, meist überwinternd, Pfahlwurzel. Hervorragender Gemengepartner in Winterzwischenfrüchten (schnellen Durchwurzelung).
Achtung: mit sich selbst nicht gut verträglich (Anbaupausen!)</t>
        </r>
      </text>
    </comment>
    <comment ref="V3" authorId="0" shapeId="0" xr:uid="{E5494EEF-7036-492F-AE7D-278A685CD90D}">
      <text>
        <r>
          <rPr>
            <b/>
            <sz val="10"/>
            <color indexed="81"/>
            <rFont val="Segoe UI"/>
            <family val="2"/>
          </rPr>
          <t>kein Sklerotiniaüberträger, eignet sich für Frischverfütterung, geeignet für Heu- und Silagebereitung, guter N-Verwerter;
überwintert in milderen Lagen</t>
        </r>
      </text>
    </comment>
    <comment ref="W3" authorId="0" shapeId="0" xr:uid="{EBEF5512-A464-47DC-B165-5974FA19A8B2}">
      <text>
        <r>
          <rPr>
            <b/>
            <sz val="10"/>
            <color indexed="81"/>
            <rFont val="Segoe UI"/>
            <family val="2"/>
          </rPr>
          <t>Kreuzblütler - Fruchfolge beachten; Wirtspflanzen des Rybenzystennematoden;
schneller Aufgang, trockenheitsverträglich, auch für schwere, nasse Böden geeignet, nicht verträglich mit Senf;
Empfohlene Mengen in Mischungen je ha: 0,5 bis 1,5 kg</t>
        </r>
        <r>
          <rPr>
            <sz val="9"/>
            <color indexed="81"/>
            <rFont val="Segoe UI"/>
            <family val="2"/>
          </rPr>
          <t xml:space="preserve">
</t>
        </r>
      </text>
    </comment>
    <comment ref="X3" authorId="0" shapeId="0" xr:uid="{44D3D829-3AAC-430D-BC71-5FDA75723C02}">
      <text>
        <r>
          <rPr>
            <b/>
            <sz val="10"/>
            <color indexed="81"/>
            <rFont val="Segoe UI"/>
            <family val="2"/>
          </rPr>
          <t xml:space="preserve">hoher Eiweißgehalt, einjährige Leguminose mit Pfahlwurzel
</t>
        </r>
      </text>
    </comment>
    <comment ref="Y3" authorId="0" shapeId="0" xr:uid="{9F840539-1A45-4516-915F-A9F59C95A0FC}">
      <text>
        <r>
          <rPr>
            <b/>
            <sz val="10"/>
            <color indexed="81"/>
            <rFont val="Segoe UI"/>
            <family val="2"/>
          </rPr>
          <t>sehr hoher Masseertrag, tiefreichende Pfahlwurzel, fruchtfolgeneutral, Wildäsungspflanze, eventuell Probleme als Unkraut in Nachfrucht</t>
        </r>
      </text>
    </comment>
    <comment ref="Z3" authorId="0" shapeId="0" xr:uid="{829EA539-A8C7-44D3-8277-24F99DCD5019}">
      <text>
        <r>
          <rPr>
            <b/>
            <sz val="10"/>
            <color indexed="81"/>
            <rFont val="Segoe UI"/>
            <family val="2"/>
          </rPr>
          <t>Kreuzblütler - Fruchtfolge beachten: nicht selbstverträglich und nicht vor oder nach Kreuzblütlern anbauen;
langsame Jugendentwicklung, feines Wurzelwerk, wenig Masse</t>
        </r>
      </text>
    </comment>
    <comment ref="AA3" authorId="0" shapeId="0" xr:uid="{9B35C128-EACC-4647-A474-29416949E26D}">
      <text>
        <r>
          <rPr>
            <b/>
            <sz val="10"/>
            <color indexed="81"/>
            <rFont val="Segoe UI"/>
            <family val="2"/>
          </rPr>
          <t>Keine feuchten Böden, trockenheitsverträglich, frostet sicher ab, daher ist ein Partner mit einem schnellen Aufgang wichtig. Streufähig.</t>
        </r>
      </text>
    </comment>
    <comment ref="AB3" authorId="0" shapeId="0" xr:uid="{1228F028-C1E6-4146-BE48-688A8F26AB45}">
      <text>
        <r>
          <rPr>
            <b/>
            <sz val="10"/>
            <color indexed="81"/>
            <rFont val="Segoe UI"/>
            <family val="2"/>
          </rPr>
          <t>"Königin der Futterpflanzen", Wertvolle Futterleguminose mit hohem Eiweißgehalt. Kalkhaltige, tiefgründige Böden werden bevorzugt. pH -Wert um 6,5 erforderlich, verträgt keine stauende Nässe. Saatgut vor der Saat zu inokulieren.</t>
        </r>
      </text>
    </comment>
    <comment ref="AC3" authorId="0" shapeId="0" xr:uid="{43E3234B-D0E6-45B4-963C-26287298497E}">
      <text>
        <r>
          <rPr>
            <b/>
            <sz val="9"/>
            <color indexed="81"/>
            <rFont val="Segoe UI"/>
            <family val="2"/>
          </rPr>
          <t>rasche Entwicklung, wenig oberirdische Masse, verholzt nicht, kräftige Pfahlwurzel mit guter Tiefenlockerung, frostet ab und hinterlässt im Frühjahr nur kleine runde Löcher; nicht für Schotterböden geeignet, frostet bei -10C ab
Empfohlene Mengen in Mischungen je ha: 1 bis 1,5 kg</t>
        </r>
      </text>
    </comment>
    <comment ref="AD3" authorId="0" shapeId="0" xr:uid="{44BBE3F2-40B0-4F7D-9C0C-EA198DAC2CE3}">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AE3" authorId="0" shapeId="0" xr:uid="{0130F4F3-C66A-4B0A-9BEF-83FCC3098299}">
      <text>
        <r>
          <rPr>
            <b/>
            <sz val="10"/>
            <color indexed="81"/>
            <rFont val="Segoe UI"/>
            <family val="2"/>
          </rPr>
          <t>lange Blütezeit - Nahrungsangebot für bestäubende Insekten;
Empfohlene Mengen in Mischungen je ha: 3 bis 4 kg</t>
        </r>
      </text>
    </comment>
    <comment ref="AF3" authorId="0" shapeId="0" xr:uid="{35B4566E-9537-4513-88FD-1BA3C9F04ADB}">
      <text>
        <r>
          <rPr>
            <b/>
            <sz val="10"/>
            <color indexed="81"/>
            <rFont val="Segoe UI"/>
            <family val="2"/>
          </rPr>
          <t>anspruchslose, raschwüchsige Pflanze, trockenheitstolerant,</t>
        </r>
        <r>
          <rPr>
            <b/>
            <sz val="9"/>
            <color indexed="81"/>
            <rFont val="Segoe UI"/>
            <family val="2"/>
          </rPr>
          <t xml:space="preserve"> </t>
        </r>
        <r>
          <rPr>
            <b/>
            <sz val="10"/>
            <color indexed="81"/>
            <rFont val="Segoe UI"/>
            <family val="2"/>
          </rPr>
          <t xml:space="preserve">tiefreichende Pfahlwurzel, große Massenentwicklung; bei sehr spätem Anbau besteht die Gefahr dass er nicht abfrostet und im Frühjahr wieder austreibt. -  frühe Saat und dichte Bestände verringern die Rettichbildung
</t>
        </r>
        <r>
          <rPr>
            <b/>
            <u/>
            <sz val="10"/>
            <color indexed="81"/>
            <rFont val="Segoe UI"/>
            <family val="2"/>
          </rPr>
          <t xml:space="preserve">Achtung: in kreuzblütlerbetonten Fruchtfolgen ungeeignet! </t>
        </r>
        <r>
          <rPr>
            <b/>
            <sz val="10"/>
            <color indexed="81"/>
            <rFont val="Segoe UI"/>
            <family val="2"/>
          </rPr>
          <t xml:space="preserve">
Empfohlene Mengen in Mischungen je ha: 2 bis 5 kg</t>
        </r>
        <r>
          <rPr>
            <b/>
            <sz val="9"/>
            <color indexed="81"/>
            <rFont val="Segoe UI"/>
            <family val="2"/>
          </rPr>
          <t xml:space="preserve">
</t>
        </r>
        <r>
          <rPr>
            <sz val="9"/>
            <color indexed="81"/>
            <rFont val="Segoe UI"/>
            <family val="2"/>
          </rPr>
          <t xml:space="preserve">
</t>
        </r>
      </text>
    </comment>
    <comment ref="AG3" authorId="0" shapeId="0" xr:uid="{B053CF93-7878-460A-A027-CFA5AE85A366}">
      <text>
        <r>
          <rPr>
            <b/>
            <sz val="10"/>
            <color indexed="81"/>
            <rFont val="Segoe UI"/>
            <family val="2"/>
          </rPr>
          <t xml:space="preserve">anspruchslose, raschwüchsige Pflanze, trockenheitstolerant, tiefreichende Pfahlwurzel, große Massenentwicklung; bei sehr spätem Anbau besteht die Gefahr dass er nicht abfrostet und im Frühjahr wieder austreibt. -  frühe Saat und dichte Bestände verringern die Rettichbildung
</t>
        </r>
        <r>
          <rPr>
            <b/>
            <u/>
            <sz val="10"/>
            <color indexed="81"/>
            <rFont val="Segoe UI"/>
            <family val="2"/>
          </rPr>
          <t>Achtung: in kreuzblütlerbetonten Fruchtfolgen ungeeignet!</t>
        </r>
        <r>
          <rPr>
            <b/>
            <sz val="10"/>
            <color indexed="81"/>
            <rFont val="Segoe UI"/>
            <family val="2"/>
          </rPr>
          <t xml:space="preserve"> 
Empfohlene Mengen in Mischungen je ha: 2 bis 5 kg</t>
        </r>
        <r>
          <rPr>
            <sz val="9"/>
            <color indexed="81"/>
            <rFont val="Segoe UI"/>
            <family val="2"/>
          </rPr>
          <t xml:space="preserve">
</t>
        </r>
      </text>
    </comment>
    <comment ref="AH3" authorId="0" shapeId="0" xr:uid="{9263421A-1EC4-4B89-9940-C99599C4B980}">
      <text>
        <r>
          <rPr>
            <b/>
            <sz val="10"/>
            <color indexed="81"/>
            <rFont val="Segoe UI"/>
            <family val="2"/>
          </rPr>
          <t xml:space="preserve">bevorzugt wasserreiche, warme Standorte, Durchwurzelungsvermögen bis 25 cm, guter Mischungspartner mit Gräsern, für ausreichende Entwicklung frühe Aussaat notwendig! Bienenweide, geringe Krankheitsanfälligkeit, </t>
        </r>
        <r>
          <rPr>
            <b/>
            <u/>
            <sz val="10"/>
            <color indexed="81"/>
            <rFont val="Segoe UI"/>
            <family val="2"/>
          </rPr>
          <t xml:space="preserve">Fruchtfolge beachten: vermehrt eine Unterart des Rübenzystennematoden </t>
        </r>
        <r>
          <rPr>
            <b/>
            <sz val="10"/>
            <color indexed="81"/>
            <rFont val="Segoe UI"/>
            <family val="2"/>
          </rPr>
          <t xml:space="preserve">
Empfohlene Mengen in Mischungen je ha: 6 bis 8 kg</t>
        </r>
      </text>
    </comment>
    <comment ref="AI3" authorId="0" shapeId="0" xr:uid="{C13A947D-2BA0-430A-9F79-6772EA685707}">
      <text>
        <r>
          <rPr>
            <b/>
            <sz val="10"/>
            <color indexed="81"/>
            <rFont val="Segoe UI"/>
            <family val="2"/>
          </rPr>
          <t>Pfahlwurzel mit seitlichen Feinwurzeln, kalte Standorte meiden, fruchtfolge- u. nematodenneutral (Wasserblattgewächs), trockenheitsresistent.
Nicht in Kartoffelfruchtfolgen, da sie das Rattlevirus übertragen kann. 
Empfohlene Mengen in Mischungen je ha: 2 bis 4 kg</t>
        </r>
      </text>
    </comment>
    <comment ref="AJ3" authorId="0" shapeId="0" xr:uid="{B2FC9E3D-588C-4AE2-88B8-690BAF3E55B8}">
      <text>
        <r>
          <rPr>
            <b/>
            <sz val="10"/>
            <color indexed="81"/>
            <rFont val="Segoe UI"/>
            <family val="2"/>
          </rPr>
          <t>bildet Neurotoxin - Verringerung der Schnecken (moluskizide Wirkung) und Blattläuse (insektizide Wirkung). Trockenheitsverträglich, sehr hohes N-Bindungsvermögen (daher nur in Mischungen verwenden).</t>
        </r>
        <r>
          <rPr>
            <sz val="9"/>
            <color indexed="81"/>
            <rFont val="Segoe UI"/>
            <family val="2"/>
          </rPr>
          <t xml:space="preserve">
</t>
        </r>
      </text>
    </comment>
    <comment ref="AK3" authorId="0" shapeId="0" xr:uid="{7AF13BD5-F8F0-42D4-AFAE-AAB8644954D0}">
      <text>
        <r>
          <rPr>
            <b/>
            <sz val="10"/>
            <color indexed="81"/>
            <rFont val="Segoe UI"/>
            <family val="2"/>
          </rPr>
          <t>Sehr gutes Durchwurzelungsvermögen, unempfindlich gegen trockene Witterung, fruchtfolgeneutral, hinterlässt sehr guten Boden, stark stickstoffaneignend, sollte nicht abblühen, vorher schlegeln</t>
        </r>
      </text>
    </comment>
    <comment ref="AL3" authorId="0" shapeId="0" xr:uid="{444EBE1E-7FA9-409C-AF9A-8A8D75C1E5FE}">
      <text>
        <r>
          <rPr>
            <b/>
            <sz val="10"/>
            <color indexed="81"/>
            <rFont val="Segoe UI"/>
            <family val="2"/>
          </rPr>
          <t xml:space="preserve">ertragreiche, eiweißreiche, winterharte und ausdauernde Futterleguminose, für kühlere und feuchte Lagen. Pfahlwurzel mit stark verzweigten Nebenwurzeln, für über- und mehrjährige Gemenge sowie Rotationsbrache geeignet.
</t>
        </r>
        <r>
          <rPr>
            <b/>
            <u/>
            <sz val="10"/>
            <color indexed="81"/>
            <rFont val="Segoe UI"/>
            <family val="2"/>
          </rPr>
          <t>Fruchtfolge:</t>
        </r>
        <r>
          <rPr>
            <b/>
            <sz val="10"/>
            <color indexed="81"/>
            <rFont val="Segoe UI"/>
            <family val="2"/>
          </rPr>
          <t xml:space="preserve"> Guter Vorfruchtwert für Folgekulturen, jedoch wenig selbstverträglich, Anbaupause 4-6 Jahre.</t>
        </r>
      </text>
    </comment>
    <comment ref="AM3" authorId="0" shapeId="0" xr:uid="{76C8A2B0-4AFD-4969-A561-E1C49F77C332}">
      <text>
        <r>
          <rPr>
            <b/>
            <sz val="10"/>
            <color indexed="81"/>
            <rFont val="Segoe UI"/>
            <family val="2"/>
          </rPr>
          <t>rasche Jugendentwicklung, höheres Stickstoffbildungsvermögen und intensivere Durchwurzelung als Futtererbse, für trockene Standorte geeignet, niedriger Wuchs, hohe Massenentwicklung, bevorzugt bindige, kalkreiche Böden, Wildäsungspflanze. Streufähig.</t>
        </r>
        <r>
          <rPr>
            <sz val="9"/>
            <color indexed="81"/>
            <rFont val="Segoe UI"/>
            <family val="2"/>
          </rPr>
          <t xml:space="preserve">
</t>
        </r>
      </text>
    </comment>
    <comment ref="AN3" authorId="0" shapeId="0" xr:uid="{41911DC2-9901-41AC-A5FA-DCB2ABBD8CE7}">
      <text>
        <r>
          <rPr>
            <b/>
            <sz val="10"/>
            <color indexed="81"/>
            <rFont val="Segoe UI"/>
            <family val="2"/>
          </rPr>
          <t>rasche Jugendentwicklung, gute Unkrautunterdrückung, bevorzugt mittlere und schwere kalkhältige Lehmböden, gutes Durchwurzelungsvermögen - intensives schnellwachsendes Wurzelwerk (Feinwurzler) fördert Bodengare, trockenheitsresistent, niedriger Wuchs, eiweißreiches Grünfutter, 
Empfohlene Mengen in Mischungen je ha: 10 bis 20 kg</t>
        </r>
        <r>
          <rPr>
            <sz val="10"/>
            <color indexed="81"/>
            <rFont val="Segoe UI"/>
            <family val="2"/>
          </rPr>
          <t xml:space="preserve">
</t>
        </r>
      </text>
    </comment>
    <comment ref="AO3" authorId="0" shapeId="0" xr:uid="{8C91E46B-E40C-4C3F-8800-0308D261B0B9}">
      <text>
        <r>
          <rPr>
            <b/>
            <sz val="10"/>
            <color indexed="81"/>
            <rFont val="Segoe UI"/>
            <family val="2"/>
          </rPr>
          <t>Korbblütler, Tiefwurzler, frostet sicher ab</t>
        </r>
      </text>
    </comment>
    <comment ref="AP3" authorId="0" shapeId="0" xr:uid="{D6381A4B-7CCB-4B1A-830D-EBB59C2C9C28}">
      <text>
        <r>
          <rPr>
            <b/>
            <sz val="10"/>
            <color indexed="81"/>
            <rFont val="Segoe UI"/>
            <family val="2"/>
          </rPr>
          <t>Sandhafer gedeiht auf allen Bodenarten und durchwurzelt den Boden optimal. Der dichte Aufwuchs bringt schnell große Mengen an organischer Masse, die auch als Silage für die Viehfütterung nutzbar ist. Fruchtfolgeneutral. Sorte PRATEX zur Bekämpfung von Pratylenchus penetrans (Wurzelläsionsälchen).
Empfohlene Mengen in Mischungen je ha: 20 bis 40 kg</t>
        </r>
      </text>
    </comment>
    <comment ref="AQ3" authorId="0" shapeId="0" xr:uid="{C3C239EF-AF6D-4549-BAA0-D9BDFEB8531C}">
      <text>
        <r>
          <rPr>
            <b/>
            <sz val="10"/>
            <color indexed="81"/>
            <rFont val="Segoe UI"/>
            <family val="2"/>
          </rPr>
          <t>bessere Durchwurzelung als Senf, Bodenstrukturverbesserung durch kräftiges, tiefreichendes Wurzelwerk, geringe Blühneigung, gute Silageeignung. Streufähig.</t>
        </r>
        <r>
          <rPr>
            <sz val="9"/>
            <color indexed="81"/>
            <rFont val="Segoe UI"/>
            <family val="2"/>
          </rPr>
          <t xml:space="preserve">
</t>
        </r>
      </text>
    </comment>
    <comment ref="AS3" authorId="0" shapeId="0" xr:uid="{4E6B6600-6BF6-4A2D-9F49-40DC72E9F228}">
      <text>
        <r>
          <rPr>
            <b/>
            <sz val="9"/>
            <color indexed="81"/>
            <rFont val="Segoe UI"/>
            <family val="2"/>
          </rPr>
          <t>Empfohlene Mengen in Mischungen je ha:
0,25 bis 0,5 kg</t>
        </r>
        <r>
          <rPr>
            <sz val="9"/>
            <color indexed="81"/>
            <rFont val="Segoe UI"/>
            <family val="2"/>
          </rPr>
          <t xml:space="preserve">
</t>
        </r>
      </text>
    </comment>
    <comment ref="AT3" authorId="0" shapeId="0" xr:uid="{B0A5A7C3-F041-4953-BA42-49ECC9C98160}">
      <text>
        <r>
          <rPr>
            <b/>
            <sz val="10"/>
            <color indexed="81"/>
            <rFont val="Segoe UI"/>
            <family val="2"/>
          </rPr>
          <t>Kreuzblütler, nematodenresistent bei rechtzeitigem Anbau - ideal bei Zuckerrübenfruchtfolge, schnelle Jugendentwicklung</t>
        </r>
      </text>
    </comment>
    <comment ref="AU3" authorId="0" shapeId="0" xr:uid="{2EFA7BCD-F05D-477E-8192-3E335FB47146}">
      <text>
        <r>
          <rPr>
            <b/>
            <sz val="10"/>
            <color indexed="81"/>
            <rFont val="Segoe UI"/>
            <family val="2"/>
          </rPr>
          <t>rasche Keimung, hohe Blattmasse, rasche Bodenbedeckung, nährstoffreiches Futter, gute Durchwurzelung, Anbaupausen einhalten (Kohlhernie), Achtung bei Zuckerrübe als Fruchtfolgeglied (Nematoden!). Streufähig.</t>
        </r>
        <r>
          <rPr>
            <b/>
            <sz val="9"/>
            <color indexed="81"/>
            <rFont val="Segoe UI"/>
            <family val="2"/>
          </rPr>
          <t xml:space="preserve">
</t>
        </r>
      </text>
    </comment>
    <comment ref="AV3" authorId="0" shapeId="0" xr:uid="{B2A763BB-3CC2-4D94-80A7-49882941C26C}">
      <text>
        <r>
          <rPr>
            <b/>
            <sz val="10"/>
            <color indexed="81"/>
            <rFont val="Segoe UI"/>
            <family val="2"/>
          </rPr>
          <t>Spätsaatverträgliche ZWF, schneller Wuchs, friet sicher ab;
Empfohlene Mengen in Mischungen je ha: 0,5 bis 1,5 kg</t>
        </r>
      </text>
    </comment>
    <comment ref="AW3" authorId="0" shapeId="0" xr:uid="{67755934-DB48-4EB2-B4A0-F12070AAB13A}">
      <text>
        <r>
          <rPr>
            <b/>
            <sz val="10"/>
            <color indexed="81"/>
            <rFont val="Segoe UI"/>
            <family val="2"/>
          </rPr>
          <t>mehrjährige, robuste und eine der calciumreichsten Kräuterpflanzen, trockenresistent</t>
        </r>
        <r>
          <rPr>
            <sz val="10"/>
            <color indexed="81"/>
            <rFont val="Segoe UI"/>
            <family val="2"/>
          </rPr>
          <t xml:space="preserve">
</t>
        </r>
      </text>
    </comment>
    <comment ref="AX3" authorId="0" shapeId="0" xr:uid="{D9D01FC2-89C1-4E10-9206-E4DD336CA179}">
      <text>
        <r>
          <rPr>
            <b/>
            <sz val="10"/>
            <color indexed="81"/>
            <rFont val="Segoe UI"/>
            <family val="2"/>
          </rPr>
          <t>zweijährig - Blütenbildung im 2. Jahr, für mehrjährige Gründüngungsgemische, sehr gute Wuchseigenschaften, durchwurzelt auch verdichtete Böden, anspruchslose, kalkliebende Pflanze, Feinwurzler, Bienenweide, gute Meliorationspflanze, keine Futternutzung aufgrund Cumaringehaltes</t>
        </r>
        <r>
          <rPr>
            <sz val="9"/>
            <color indexed="81"/>
            <rFont val="Segoe UI"/>
            <family val="2"/>
          </rPr>
          <t xml:space="preserve">
</t>
        </r>
      </text>
    </comment>
    <comment ref="AY3" authorId="0" shapeId="0" xr:uid="{0934D9D0-7B08-4239-9766-A60D56F72F5E}">
      <text>
        <r>
          <rPr>
            <b/>
            <sz val="10"/>
            <color indexed="81"/>
            <rFont val="Segoe UI"/>
            <family val="2"/>
          </rPr>
          <t>hohes Nachwuchsvermögen, Nutzung als Grünfutter/Silage ab 60 cm vor Beginn des Rispenschieben; Nutzung für Biogasproduktion möglich;
Empfohlene Mengen in Mischungen je ha: 3 bis 5 kg</t>
        </r>
        <r>
          <rPr>
            <sz val="10"/>
            <color indexed="81"/>
            <rFont val="Segoe UI"/>
            <family val="2"/>
          </rPr>
          <t xml:space="preserve">
</t>
        </r>
      </text>
    </comment>
    <comment ref="AZ3" authorId="0" shapeId="0" xr:uid="{4E7BDA63-F194-4A16-BDE5-8126EB077531}">
      <text>
        <r>
          <rPr>
            <b/>
            <sz val="10"/>
            <color indexed="81"/>
            <rFont val="Segoe UI"/>
            <family val="2"/>
          </rPr>
          <t>anspruchslose Gräserart, bestockt stärker als Roggen, gutes Wurzelwerk, überwinternd,  auch für ärmste Böden geeignet, für Wildacker geeignet, gute Wildäsung</t>
        </r>
      </text>
    </comment>
    <comment ref="BA3" authorId="0" shapeId="0" xr:uid="{D9E97556-B0B9-4A6B-89A5-A5A8CBA187CE}">
      <text>
        <r>
          <rPr>
            <b/>
            <sz val="10"/>
            <color indexed="81"/>
            <rFont val="Segoe UI"/>
            <family val="2"/>
          </rPr>
          <t>ausdauernd / winterhart, kurzwüchsig, geeignet für Untersaaten wegen niedrigem Wuchs, geringe Ansprüche an Boden und Klima aber lichtbedürftig, verhindert lückigen Bestand, Mischungspartner mit Gräser. fruchtfolgeneutral</t>
        </r>
        <r>
          <rPr>
            <b/>
            <sz val="9"/>
            <color indexed="81"/>
            <rFont val="Segoe UI"/>
            <family val="2"/>
          </rPr>
          <t xml:space="preserve">
</t>
        </r>
      </text>
    </comment>
    <comment ref="BC3" authorId="0" shapeId="0" xr:uid="{86D2D6CB-6610-4614-ACA2-E67364185889}">
      <text>
        <r>
          <rPr>
            <b/>
            <sz val="10"/>
            <color indexed="81"/>
            <rFont val="Segoe UI"/>
            <family val="2"/>
          </rPr>
          <t xml:space="preserve">rasche Bodenbedeckung, gute Durchwurzelung, Anbaupausen 
einhalten (Kohlhernie), geht im Anbaujahr nicht in Blüte, bringt nährstoffreiches Futter, Achtung bei Zuckerrübe als 
Fruchtfolgeglied (Nematoden!). </t>
        </r>
        <r>
          <rPr>
            <sz val="9"/>
            <color indexed="81"/>
            <rFont val="Segoe UI"/>
            <family val="2"/>
          </rPr>
          <t xml:space="preserve">
</t>
        </r>
      </text>
    </comment>
    <comment ref="BD3" authorId="0" shapeId="0" xr:uid="{1864B5B6-469B-44AA-9FD7-4EAF8BF9618A}">
      <text>
        <r>
          <rPr>
            <b/>
            <sz val="10"/>
            <color indexed="81"/>
            <rFont val="Segoe UI"/>
            <family val="2"/>
          </rPr>
          <t>Kreuzblütler, raschwüchsig, mehrschnittig, gute Gülleverwertung, winterhart; spätsaatverträglich;
Empfohlene Mengen in Mischungen je ha: 2 bis 4 kg</t>
        </r>
        <r>
          <rPr>
            <sz val="9"/>
            <color indexed="81"/>
            <rFont val="Segoe UI"/>
            <family val="2"/>
          </rPr>
          <t xml:space="preserve">
</t>
        </r>
      </text>
    </comment>
    <comment ref="BE3" authorId="0" shapeId="0" xr:uid="{02EB4362-F705-4E6A-B71E-B70D8F4993A3}">
      <text>
        <r>
          <rPr>
            <b/>
            <sz val="10"/>
            <color indexed="81"/>
            <rFont val="Segoe UI"/>
            <family val="2"/>
          </rPr>
          <t>überwinternd, guter Mischungspartner in Begrünungsmischungen, Feinwurzler, Stickstoffsammler, bevorzugt durchlässige warme Sandböden, sonst geringe Boden bzw. Standortansprüche, gute Bodenbedeckung, bildet auch noch in der kalten Jahreszeit Wurzelmasse</t>
        </r>
      </text>
    </comment>
    <comment ref="BF3" authorId="0" shapeId="0" xr:uid="{47336FE7-0EA5-4489-90A6-AC3C978E420C}">
      <text>
        <r>
          <rPr>
            <b/>
            <sz val="10"/>
            <color indexed="81"/>
            <rFont val="Segoe UI"/>
            <family val="2"/>
          </rPr>
          <t>mehrjährige, ausdauernde Kräuterart, die gesundheitsfördernde Stoffe enthält, gute Trockenheitsresistenz</t>
        </r>
      </text>
    </comment>
    <comment ref="BG3" authorId="0" shapeId="0" xr:uid="{3D3912B8-4F3E-4404-AC73-A92B98253624}">
      <text>
        <r>
          <rPr>
            <b/>
            <sz val="10"/>
            <color indexed="81"/>
            <rFont val="Segoe UI"/>
            <family val="2"/>
          </rPr>
          <t>intensives Wurzelwachstum; klimafit - wetterfest; sicher abfrostend; einzigartige Mulchauflage im Frühjahr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Kriegner-Schramml Simon</author>
  </authors>
  <commentList>
    <comment ref="D79" authorId="0" shapeId="0" xr:uid="{8F6C86ED-B0C1-415D-84B3-92355702D418}">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C80" authorId="0" shapeId="0" xr:uid="{9BE5895B-C01A-4993-BFDC-A5360C212D6C}">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E85" authorId="0" shapeId="0" xr:uid="{0D862469-BC39-4122-B75F-2C3B99B2C544}">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E87" authorId="0" shapeId="0" xr:uid="{693B96FA-008E-4482-B9BC-17C576EEF511}">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D89" authorId="0" shapeId="0" xr:uid="{46D302D2-8C26-4BC0-BCBB-1CC52EB1B763}">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C92" authorId="0" shapeId="0" xr:uid="{8BF9494A-8AA2-4526-BA61-DD4CEA54128C}">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C93" authorId="0" shapeId="0" xr:uid="{94B841C4-49DA-4568-8871-52BBF69223C2}">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E96" authorId="0" shapeId="0" xr:uid="{E3A1D68A-7EDD-427B-B6F5-554360D9CD10}">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E97" authorId="0" shapeId="0" xr:uid="{79506B69-38CC-4AC2-A51F-E5CE70579A9A}">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C113" authorId="0" shapeId="0" xr:uid="{143223A6-FC7B-46F4-ABEE-542EFCB49C82}">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D118" authorId="0" shapeId="0" xr:uid="{6DAA4FD7-8AF0-4595-96DB-6BF192AA9FD4}">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E121" authorId="0" shapeId="0" xr:uid="{F740B287-B143-437C-9524-CE26A5338E87}">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C122" authorId="0" shapeId="0" xr:uid="{07B9800E-74BC-4208-A135-8B0796C71725}">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D124" authorId="0" shapeId="0" xr:uid="{4460ABBA-6A3D-4AF5-B4D1-6CCE943DDC48}">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E125" authorId="0" shapeId="0" xr:uid="{EFED8BCD-B840-4462-BECE-02032339D167}">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F126" authorId="0" shapeId="0" xr:uid="{9EE7FDE1-9155-486F-B504-5DE8F78124E8}">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D127" authorId="0" shapeId="0" xr:uid="{8C76408E-5AF7-4F12-8434-1E89A07E9075}">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F128" authorId="0" shapeId="0" xr:uid="{A07C6858-4B77-4ACA-9751-44DC97D6CD4A}">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C130" authorId="0" shapeId="0" xr:uid="{797E6402-51AA-4692-94DD-4437D6119369}">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E131" authorId="0" shapeId="0" xr:uid="{1C917A50-FED1-4D25-99D9-EEB9A0C32A60}">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H132" authorId="0" shapeId="0" xr:uid="{59E53A24-B4B8-429E-9A80-34D3606591CA}">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G133" authorId="0" shapeId="0" xr:uid="{01353EBC-66D7-463C-BE85-5D59238A6722}">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F134" authorId="0" shapeId="0" xr:uid="{718DB541-6F69-4D9E-BFAF-524D63A3A062}">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E135" authorId="0" shapeId="0" xr:uid="{7D7E89A8-8B5A-4647-A21A-30348F58DA1F}">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D136" authorId="0" shapeId="0" xr:uid="{31E16F70-7E23-4FCA-A975-E73CAA5E176E}">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E137" authorId="0" shapeId="0" xr:uid="{5B485A81-3C28-4E44-B84F-51FF50B82E5E}">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E139" authorId="0" shapeId="0" xr:uid="{3E2B2C69-2F69-4120-8D71-EDD9F58E11BF}">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D145" authorId="0" shapeId="0" xr:uid="{D51AF307-0F6D-48BC-A6E6-231F88541A24}">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E146" authorId="0" shapeId="0" xr:uid="{2CFE5C58-8C26-46CB-B1BA-87F6446BEBE0}">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E147" authorId="0" shapeId="0" xr:uid="{3BC71121-6E73-4470-AB18-D195D3748074}">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D149" authorId="0" shapeId="0" xr:uid="{60CC7406-B1A7-4E2F-9B60-14270AAA3FF2}">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C152" authorId="0" shapeId="0" xr:uid="{4C431D6B-5BF7-43AF-ADFA-76E1192DC605}">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C153" authorId="0" shapeId="0" xr:uid="{937E3608-1B84-44B5-BD1C-FE17EF757A11}">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Kriegner-Schramml Simon</author>
  </authors>
  <commentList>
    <comment ref="A2" authorId="0" shapeId="0" xr:uid="{DD07DFE0-85D7-4CBD-BB36-1E4F2B74F7D9}">
      <text>
        <r>
          <rPr>
            <b/>
            <sz val="11"/>
            <color indexed="81"/>
            <rFont val="Segoe UI"/>
            <family val="2"/>
          </rPr>
          <t>Hier kann die Bezeichnung der eigenen Mischung angeführt werden</t>
        </r>
      </text>
    </comment>
    <comment ref="E2" authorId="0" shapeId="0" xr:uid="{E2D75D8E-85C2-4213-BC98-D84575D0CA00}">
      <text>
        <r>
          <rPr>
            <b/>
            <sz val="11"/>
            <color indexed="81"/>
            <rFont val="Segoe UI"/>
            <family val="2"/>
          </rPr>
          <t>Hier bitte die geplante Menge je ha angeführen</t>
        </r>
        <r>
          <rPr>
            <sz val="9"/>
            <color indexed="81"/>
            <rFont val="Segoe UI"/>
            <family val="2"/>
          </rPr>
          <t xml:space="preserve">
</t>
        </r>
      </text>
    </comment>
    <comment ref="L3" authorId="0" shapeId="0" xr:uid="{00000000-0006-0000-0100-000001000000}">
      <text>
        <r>
          <rPr>
            <b/>
            <sz val="11"/>
            <color indexed="81"/>
            <rFont val="Segoe UI"/>
            <family val="2"/>
          </rPr>
          <t>bei Zwischenfrüchten mit einem Leguminosenanteil &gt;60% ist ein Vorfruchtwert zu berücksichtigen (ungenutzt: 20 kg N; genutzt 10 kg N); HINWEIS: es zählt Bestand am Feld, dieser Hinweis ist ausschließlich als Orientierungshilfe zu sehen.</t>
        </r>
      </text>
    </comment>
    <comment ref="A4" authorId="0" shapeId="0" xr:uid="{EA02685A-8D9B-493C-92CF-4F179FF4EC66}">
      <text>
        <r>
          <rPr>
            <b/>
            <sz val="10"/>
            <color indexed="81"/>
            <rFont val="Segoe UI"/>
            <family val="2"/>
          </rPr>
          <t>Zur Biofumigation geeignet; gute Deckung uns Äsung für Wild; anspruchslos; blattreich</t>
        </r>
      </text>
    </comment>
    <comment ref="A5" authorId="0" shapeId="0" xr:uid="{D8A298E6-4F97-45B5-A48E-BC7DB3461B8D}">
      <text>
        <r>
          <rPr>
            <b/>
            <sz val="10"/>
            <color indexed="81"/>
            <rFont val="Segoe UI"/>
            <family val="2"/>
          </rPr>
          <t>bevorzugt feuchtes Klimaund tiefgründige, kalkreiche Böden, kräftige Pfahlwurzel mit vielen kurzen Seitenwurzeln;
Empfohlene Mengen in Mischungen je ha: 20 bis 40 kg</t>
        </r>
      </text>
    </comment>
    <comment ref="A6" authorId="0" shapeId="0" xr:uid="{2DCB37B9-CE6F-4BAF-92B3-6BE808490162}">
      <text>
        <r>
          <rPr>
            <b/>
            <sz val="10"/>
            <color indexed="81"/>
            <rFont val="Segoe UI"/>
            <family val="2"/>
          </rPr>
          <t>hohes Nachwuchsvermögen; im Gemenge mit Gräsern anbauen;gute Bienenweide, gleichmäßige und tiefreichende Durchwurzelung (guter Bodenaufschluss), meist abfrostend;
Empfohlene Mengen in Mischungen je ha: 6 bis 8 kg</t>
        </r>
        <r>
          <rPr>
            <sz val="9"/>
            <color indexed="81"/>
            <rFont val="Segoe UI"/>
            <family val="2"/>
          </rPr>
          <t xml:space="preserve">
</t>
        </r>
      </text>
    </comment>
    <comment ref="E6" authorId="0" shapeId="0" xr:uid="{A1D15F8D-485E-4B80-990F-08381A0F2727}">
      <text>
        <r>
          <rPr>
            <b/>
            <sz val="9"/>
            <color indexed="81"/>
            <rFont val="Segoe UI"/>
            <family val="2"/>
          </rPr>
          <t>Empfohlene Mengen in Mischungen je ha:
6 bis 8 kg</t>
        </r>
      </text>
    </comment>
    <comment ref="A7" authorId="0" shapeId="0" xr:uid="{E0351136-9B35-4C48-BB84-290F2A5159AE}">
      <text>
        <r>
          <rPr>
            <b/>
            <sz val="10"/>
            <color indexed="81"/>
            <rFont val="Segoe UI"/>
            <family val="2"/>
          </rPr>
          <t>2- bis mehrjährig, hoher Grünmasseertrag bei guter Nährstoffversorgung</t>
        </r>
        <r>
          <rPr>
            <sz val="9"/>
            <color indexed="81"/>
            <rFont val="Segoe UI"/>
            <family val="2"/>
          </rPr>
          <t xml:space="preserve">
</t>
        </r>
      </text>
    </comment>
    <comment ref="A8" authorId="0" shapeId="0" xr:uid="{67DA797D-0A9E-496D-9B03-8EF85BDC85FB}">
      <text>
        <r>
          <rPr>
            <b/>
            <sz val="9"/>
            <color indexed="81"/>
            <rFont val="Segoe UI"/>
            <family val="2"/>
          </rPr>
          <t>bitterstoffhältig, sehr gut geeignet als Begrünungspflanze in Mischungen, kräftige Pfahlwurzel, geringe Standortsansprüche (leicht saurer pH-Wert)</t>
        </r>
      </text>
    </comment>
    <comment ref="A9" authorId="0" shapeId="0" xr:uid="{7E5C5FEF-B41C-48C9-BCB1-661BC1957FC7}">
      <text>
        <r>
          <rPr>
            <b/>
            <sz val="9"/>
            <color indexed="81"/>
            <rFont val="Segoe UI"/>
            <family val="2"/>
          </rPr>
          <t>Knöterichgewächs, nematodenneutral, wüchsige, kurzlebige, anspruchslose Pflanze, geringes Durchwurzelungsvermögen, gute Bodenbedeckung, Wildäsungspflanze, Bienenweide, frostempfindlich, Achtung: bildet sehr rasch Samen;
Empfohlene Mengen in Mischungen je ha: 10 bis 15 kg</t>
        </r>
      </text>
    </comment>
    <comment ref="E9" authorId="0" shapeId="0" xr:uid="{F8F82085-E326-45B6-B426-79B37548B8EC}">
      <text>
        <r>
          <rPr>
            <b/>
            <sz val="10"/>
            <color indexed="81"/>
            <rFont val="Segoe UI"/>
            <family val="2"/>
          </rPr>
          <t>Empfohlene Mengen in Mischungen je ha:
10 bis 15 kg</t>
        </r>
        <r>
          <rPr>
            <sz val="9"/>
            <color indexed="81"/>
            <rFont val="Segoe UI"/>
            <family val="2"/>
          </rPr>
          <t xml:space="preserve">
</t>
        </r>
      </text>
    </comment>
    <comment ref="E10" authorId="0" shapeId="0" xr:uid="{9E9691C4-44C5-4B77-8D01-3EAC5C07FA36}">
      <text>
        <r>
          <rPr>
            <b/>
            <sz val="10"/>
            <color indexed="81"/>
            <rFont val="Segoe UI"/>
            <family val="2"/>
          </rPr>
          <t>Empfohlene Mengen in Mischungen je ha:
10 bis 15 kg</t>
        </r>
      </text>
    </comment>
    <comment ref="A11" authorId="0" shapeId="0" xr:uid="{713EA3FD-8D43-4122-BA1A-DDED75EC2554}">
      <text>
        <r>
          <rPr>
            <b/>
            <sz val="10"/>
            <color indexed="81"/>
            <rFont val="Segoe UI"/>
            <family val="2"/>
          </rPr>
          <t>schnellwüchsig - Ca. 6-8 Wochen nach der Aussaat schnittreif,sehr hoher Futterertrag; hoher Energiegehalt und gut silierbar, nematodenneutral; bei Nutzung vor Beginn des Ährenschiebens (einjährig); ideal im Gemenge mit Alexandrinerklee und/oder Persischem Klee</t>
        </r>
      </text>
    </comment>
    <comment ref="A12" authorId="0" shapeId="0" xr:uid="{67B6E0B7-187A-4623-8BE1-D2889B3A4CC5}">
      <text>
        <r>
          <rPr>
            <b/>
            <sz val="10"/>
            <color indexed="81"/>
            <rFont val="Segoe UI"/>
            <family val="2"/>
          </rPr>
          <t>Ausdauerndste Form der Raygräser, mehrjährig, kein Sklerotiniaüberträger, intensive Durchwurzelung der oberen Bodenschicht</t>
        </r>
      </text>
    </comment>
    <comment ref="A13" authorId="0" shapeId="0" xr:uid="{6B357CC2-0A40-42B5-8F78-9345544EB3E0}">
      <text>
        <r>
          <rPr>
            <b/>
            <sz val="9"/>
            <color indexed="81"/>
            <rFont val="Segoe UI"/>
            <family val="2"/>
          </rPr>
          <t>sehr gute Gründüngungspflanze, wenn sie mehrere Jahre auf dem gleichen Standort stehen kann, sehr gute Durchwurzelung des Oberbodens, Pflanze ist klimaunempfindlich, kalkreiche Böden notwendig</t>
        </r>
        <r>
          <rPr>
            <sz val="9"/>
            <color indexed="81"/>
            <rFont val="Segoe UI"/>
            <family val="2"/>
          </rPr>
          <t xml:space="preserve">
</t>
        </r>
      </text>
    </comment>
    <comment ref="A14" authorId="0" shapeId="0" xr:uid="{23704339-B44F-4CF7-9AF7-0EB045D36A2F}">
      <text>
        <r>
          <rPr>
            <b/>
            <sz val="10"/>
            <color indexed="81"/>
            <rFont val="Segoe UI"/>
            <family val="2"/>
          </rPr>
          <t>Eiweißreiches Grünfutter - erntereif zur Grünverfütterung nach Erreichen der Vollblüte, sobald die untersten Hülsen ausgebildet sind, Anbau mit Stützfrucht</t>
        </r>
      </text>
    </comment>
    <comment ref="A15" authorId="0" shapeId="0" xr:uid="{887E73DA-A754-4A73-B8BC-91C0DC8D3AD2}">
      <text>
        <r>
          <rPr>
            <b/>
            <sz val="10"/>
            <color indexed="81"/>
            <rFont val="Segoe UI"/>
            <family val="2"/>
          </rPr>
          <t>Gutes Futter, speziell für Wild sehr gut geeignet; hohe Winterfestigkeit, aber nicht mehrjährig</t>
        </r>
      </text>
    </comment>
    <comment ref="A16" authorId="0" shapeId="0" xr:uid="{21A21E15-2C46-4375-9B92-307F3A1C722B}">
      <text>
        <r>
          <rPr>
            <b/>
            <sz val="10"/>
            <color indexed="81"/>
            <rFont val="Segoe UI"/>
            <family val="2"/>
          </rPr>
          <t>Leguminose, für magere Böden, anspruchslos, trockenresistent, eher niederliegend - nur im Gemenge sinnvoll</t>
        </r>
      </text>
    </comment>
    <comment ref="A17" authorId="0" shapeId="0" xr:uid="{D57D751D-E5EE-4628-BAFB-39EC3D63BC4F}">
      <text>
        <r>
          <rPr>
            <b/>
            <sz val="10"/>
            <color indexed="81"/>
            <rFont val="Segoe UI"/>
            <family val="2"/>
          </rPr>
          <t>anspruchslos, raschwüchsig, geeignet für Futternutzung, spätsaatverträglich! gute Frühjahrsschnitte (vor Maisanbau möglich)</t>
        </r>
      </text>
    </comment>
    <comment ref="A20" authorId="0" shapeId="0" xr:uid="{CF4B17C2-7158-4223-A70B-6E102B429A5F}">
      <text>
        <r>
          <rPr>
            <b/>
            <sz val="10"/>
            <color indexed="81"/>
            <rFont val="Segoe UI"/>
            <family val="2"/>
          </rPr>
          <t>Gegen Kälte und Trockenheit sehr widerstandsfähig. Kalkhaltige und trockene Standorte bevorzugt. Pfahlwurzel mit verzweigten Seiten- und vielen Feinwurzeln; niedriger Wuchs; sehr ausdauernd; nur im Gemenge sinnvoll</t>
        </r>
      </text>
    </comment>
    <comment ref="A21" authorId="0" shapeId="0" xr:uid="{9BC29A52-59A5-4249-96DF-2CF9735B23D4}">
      <text>
        <r>
          <rPr>
            <b/>
            <sz val="10"/>
            <color indexed="81"/>
            <rFont val="Segoe UI"/>
            <family val="2"/>
          </rPr>
          <t>Leguminose, spätsaatverträglich, raschwüchsig, gute Unkrautunterdrückung, gute Vorfruchtwirkung, meist überwinternd, Pfahlwurzel. Hervorragender Gemengepartner in Winterzwischenfrüchten (schnellen Durchwurzelung).
Achtung: mit sich selbst nicht gut verträglich (Anbaupausen!)</t>
        </r>
      </text>
    </comment>
    <comment ref="A22" authorId="0" shapeId="0" xr:uid="{B6947E3F-8DDA-4ABA-A8E8-92339EF51E90}">
      <text>
        <r>
          <rPr>
            <b/>
            <sz val="10"/>
            <color indexed="81"/>
            <rFont val="Segoe UI"/>
            <family val="2"/>
          </rPr>
          <t>kein Sklerotiniaüberträger, eignet sich für Frischverfütterung, geeignet für Heu- und Silagebereitung, guter N-Verwerter;
überwintert in milderen Lagen</t>
        </r>
      </text>
    </comment>
    <comment ref="A23" authorId="0" shapeId="0" xr:uid="{94B271F8-5A59-4C29-9D1F-DC3E112CC1F4}">
      <text>
        <r>
          <rPr>
            <b/>
            <sz val="10"/>
            <color indexed="81"/>
            <rFont val="Segoe UI"/>
            <family val="2"/>
          </rPr>
          <t>Kreuzblütler - Fruchfolge beachten; Wirtspflanzen des Rybenzystennematoden;
schneller Aufgang, trockenheitsverträglich, auch für schwere, nasse Böden geeignet, nicht verträglich mit Senf;
Empfohlene Mengen in Mischungen je ha: 0,5 bis 1,5 kg</t>
        </r>
        <r>
          <rPr>
            <sz val="9"/>
            <color indexed="81"/>
            <rFont val="Segoe UI"/>
            <family val="2"/>
          </rPr>
          <t xml:space="preserve">
</t>
        </r>
      </text>
    </comment>
    <comment ref="E23" authorId="0" shapeId="0" xr:uid="{D1B5AC66-4E8F-4821-9100-FA41B10DCCF3}">
      <text>
        <r>
          <rPr>
            <b/>
            <sz val="9"/>
            <color indexed="81"/>
            <rFont val="Segoe UI"/>
            <family val="2"/>
          </rPr>
          <t>Empfohlene Mengen in Mischungen je ha:
0,5 bis 1,5 kg</t>
        </r>
        <r>
          <rPr>
            <sz val="9"/>
            <color indexed="81"/>
            <rFont val="Segoe UI"/>
            <family val="2"/>
          </rPr>
          <t xml:space="preserve">
</t>
        </r>
      </text>
    </comment>
    <comment ref="A24" authorId="0" shapeId="0" xr:uid="{9A984215-AF27-4698-A40D-D41C0893AA3A}">
      <text>
        <r>
          <rPr>
            <b/>
            <sz val="10"/>
            <color indexed="81"/>
            <rFont val="Segoe UI"/>
            <family val="2"/>
          </rPr>
          <t xml:space="preserve">hoher Eiweißgehalt, einjährige Leguminose mit Pfahlwurzel
</t>
        </r>
      </text>
    </comment>
    <comment ref="A25" authorId="0" shapeId="0" xr:uid="{CDEA4EB7-59AE-4F7B-9F5C-2FA6DBB9CFAC}">
      <text>
        <r>
          <rPr>
            <b/>
            <sz val="10"/>
            <color indexed="81"/>
            <rFont val="Segoe UI"/>
            <family val="2"/>
          </rPr>
          <t>sehr hoher Masseertrag, tiefreichende Pfahlwurzel, fruchtfolgeneutral, Wildäsungspflanze, eventuell Probleme als Unkraut in Nachfrucht</t>
        </r>
      </text>
    </comment>
    <comment ref="A26" authorId="0" shapeId="0" xr:uid="{01173CB4-935B-4710-87A4-A58E02EE9A37}">
      <text>
        <r>
          <rPr>
            <b/>
            <sz val="10"/>
            <color indexed="81"/>
            <rFont val="Segoe UI"/>
            <family val="2"/>
          </rPr>
          <t>Kreuzblütler - Fruchtfolge beachten: nicht selbstverträglich und nicht vor oder nach Kreuzblütlern anbauen;
langsame Jugendentwicklung, feines Wurzelwerk, wenig Masse</t>
        </r>
      </text>
    </comment>
    <comment ref="A27" authorId="0" shapeId="0" xr:uid="{A7E7D645-C001-427D-B89B-777F8535A1A4}">
      <text>
        <r>
          <rPr>
            <b/>
            <sz val="10"/>
            <color indexed="81"/>
            <rFont val="Segoe UI"/>
            <family val="2"/>
          </rPr>
          <t>Keine feuchten Böden, trockenheitsverträglich, frostet sicher ab, daher ist ein Partner mit einem schnellen Aufgang wichtig. Streufähig.</t>
        </r>
      </text>
    </comment>
    <comment ref="A28" authorId="0" shapeId="0" xr:uid="{37DED7E0-6853-450A-B254-EE45AC08708B}">
      <text>
        <r>
          <rPr>
            <b/>
            <sz val="10"/>
            <color indexed="81"/>
            <rFont val="Segoe UI"/>
            <family val="2"/>
          </rPr>
          <t>"Königin der Futterpflanzen", Wertvolle Futterleguminose mit hohem Eiweißgehalt. Kalkhaltige, tiefgründige Böden werden bevorzugt. pH -Wert um 6,5 erforderlich, verträgt keine stauende Nässe. Saatgut vor der Saat zu inokulieren.</t>
        </r>
      </text>
    </comment>
    <comment ref="A29" authorId="0" shapeId="0" xr:uid="{44A55FB1-9327-4DE6-8825-19CB70112295}">
      <text>
        <r>
          <rPr>
            <b/>
            <sz val="9"/>
            <color indexed="81"/>
            <rFont val="Segoe UI"/>
            <family val="2"/>
          </rPr>
          <t>rasche Entwicklung, wenig oberirdische Masse, verholzt nicht, kräftige Pfahlwurzel mit guter Tiefenlockerung, frostet ab und hinterlässt im Frühjahr nur kleine runde Löcher; nicht für Schotterböden geeignet, frostet bei -10C ab
Empfohlene Mengen in Mischungen je ha: 1 bis 1,5 kg</t>
        </r>
      </text>
    </comment>
    <comment ref="E29" authorId="0" shapeId="0" xr:uid="{DF6F0354-EBB2-4A03-982D-151563431B0E}">
      <text>
        <r>
          <rPr>
            <b/>
            <sz val="9"/>
            <color indexed="81"/>
            <rFont val="Segoe UI"/>
            <family val="2"/>
          </rPr>
          <t>Empfohlene Mengen in Mischungen je ha:
1 bis 1,5 kg</t>
        </r>
        <r>
          <rPr>
            <sz val="9"/>
            <color indexed="81"/>
            <rFont val="Segoe UI"/>
            <family val="2"/>
          </rPr>
          <t xml:space="preserve">
</t>
        </r>
      </text>
    </comment>
    <comment ref="A30" authorId="0" shapeId="0" xr:uid="{0C17E4D1-1920-45F0-A464-06C5808F65B1}">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E30" authorId="0" shapeId="0" xr:uid="{90E731C5-858C-4099-BE22-45CB7C693610}">
      <text>
        <r>
          <rPr>
            <b/>
            <sz val="9"/>
            <color indexed="81"/>
            <rFont val="Segoe UI"/>
            <family val="2"/>
          </rPr>
          <t>Empfohlene Mengen in Mischungen je ha:
0,5 bis 0,8 kg</t>
        </r>
        <r>
          <rPr>
            <sz val="9"/>
            <color indexed="81"/>
            <rFont val="Segoe UI"/>
            <family val="2"/>
          </rPr>
          <t xml:space="preserve">
</t>
        </r>
      </text>
    </comment>
    <comment ref="A31" authorId="0" shapeId="0" xr:uid="{A2CA9F7D-EE29-4778-A427-0B0CA53D0325}">
      <text>
        <r>
          <rPr>
            <b/>
            <sz val="10"/>
            <color indexed="81"/>
            <rFont val="Segoe UI"/>
            <family val="2"/>
          </rPr>
          <t>lange Blütezeit - Nahrungsangebot für bestäubende Insekten;
Empfohlene Mengen in Mischungen je ha: 3 bis 4 kg</t>
        </r>
      </text>
    </comment>
    <comment ref="A32" authorId="0" shapeId="0" xr:uid="{CE4E8D8C-3CB8-4960-B3CD-ECEDC1AA94C7}">
      <text>
        <r>
          <rPr>
            <b/>
            <sz val="10"/>
            <color indexed="81"/>
            <rFont val="Segoe UI"/>
            <family val="2"/>
          </rPr>
          <t>anspruchslose, raschwüchsige Pflanze, trockenheitstolerant,</t>
        </r>
        <r>
          <rPr>
            <b/>
            <sz val="9"/>
            <color indexed="81"/>
            <rFont val="Segoe UI"/>
            <family val="2"/>
          </rPr>
          <t xml:space="preserve"> </t>
        </r>
        <r>
          <rPr>
            <b/>
            <sz val="10"/>
            <color indexed="81"/>
            <rFont val="Segoe UI"/>
            <family val="2"/>
          </rPr>
          <t xml:space="preserve">tiefreichende Pfahlwurzel, große Massenentwicklung; bei sehr spätem Anbau besteht die Gefahr dass er nicht abfrostet und im Frühjahr wieder austreibt. -  frühe Saat und dichte Bestände verringern die Rettichbildung
</t>
        </r>
        <r>
          <rPr>
            <b/>
            <u/>
            <sz val="10"/>
            <color indexed="81"/>
            <rFont val="Segoe UI"/>
            <family val="2"/>
          </rPr>
          <t xml:space="preserve">Achtung: in kreuzblütlerbetonten Fruchtfolgen ungeeignet! </t>
        </r>
        <r>
          <rPr>
            <b/>
            <sz val="10"/>
            <color indexed="81"/>
            <rFont val="Segoe UI"/>
            <family val="2"/>
          </rPr>
          <t xml:space="preserve">
Empfohlene Mengen in Mischungen je ha: 2 bis 5 kg</t>
        </r>
        <r>
          <rPr>
            <b/>
            <sz val="9"/>
            <color indexed="81"/>
            <rFont val="Segoe UI"/>
            <family val="2"/>
          </rPr>
          <t xml:space="preserve">
</t>
        </r>
        <r>
          <rPr>
            <sz val="9"/>
            <color indexed="81"/>
            <rFont val="Segoe UI"/>
            <family val="2"/>
          </rPr>
          <t xml:space="preserve">
</t>
        </r>
      </text>
    </comment>
    <comment ref="E32" authorId="0" shapeId="0" xr:uid="{54D7FEB8-656E-414C-8D28-5B8E804C508C}">
      <text>
        <r>
          <rPr>
            <b/>
            <sz val="9"/>
            <color indexed="81"/>
            <rFont val="Segoe UI"/>
            <family val="2"/>
          </rPr>
          <t>Empfohlene Mengen in Mischungen je ha:
2 bis 5 kg</t>
        </r>
        <r>
          <rPr>
            <sz val="9"/>
            <color indexed="81"/>
            <rFont val="Segoe UI"/>
            <family val="2"/>
          </rPr>
          <t xml:space="preserve">
</t>
        </r>
      </text>
    </comment>
    <comment ref="A33" authorId="0" shapeId="0" xr:uid="{E796A3FD-B1B8-492F-AF7C-1F906849E076}">
      <text>
        <r>
          <rPr>
            <b/>
            <sz val="10"/>
            <color indexed="81"/>
            <rFont val="Segoe UI"/>
            <family val="2"/>
          </rPr>
          <t xml:space="preserve">anspruchslose, raschwüchsige Pflanze, trockenheitstolerant, tiefreichende Pfahlwurzel, große Massenentwicklung; bei sehr spätem Anbau besteht die Gefahr dass er nicht abfrostet und im Frühjahr wieder austreibt. -  frühe Saat und dichte Bestände verringern die Rettichbildung
</t>
        </r>
        <r>
          <rPr>
            <b/>
            <u/>
            <sz val="10"/>
            <color indexed="81"/>
            <rFont val="Segoe UI"/>
            <family val="2"/>
          </rPr>
          <t>Achtung: in kreuzblütlerbetonten Fruchtfolgen ungeeignet!</t>
        </r>
        <r>
          <rPr>
            <b/>
            <sz val="10"/>
            <color indexed="81"/>
            <rFont val="Segoe UI"/>
            <family val="2"/>
          </rPr>
          <t xml:space="preserve"> 
Empfohlene Mengen in Mischungen je ha: 2 bis 5 kg</t>
        </r>
        <r>
          <rPr>
            <sz val="9"/>
            <color indexed="81"/>
            <rFont val="Segoe UI"/>
            <family val="2"/>
          </rPr>
          <t xml:space="preserve">
</t>
        </r>
      </text>
    </comment>
    <comment ref="E33" authorId="0" shapeId="0" xr:uid="{19D09F33-CDB9-4F91-95E5-8FD1654F6510}">
      <text>
        <r>
          <rPr>
            <b/>
            <sz val="9"/>
            <color indexed="81"/>
            <rFont val="Segoe UI"/>
            <family val="2"/>
          </rPr>
          <t>Empfohlene Mengen in Mischungen je ha:
2 bis 5 kg</t>
        </r>
        <r>
          <rPr>
            <sz val="9"/>
            <color indexed="81"/>
            <rFont val="Segoe UI"/>
            <family val="2"/>
          </rPr>
          <t xml:space="preserve">
</t>
        </r>
      </text>
    </comment>
    <comment ref="A34" authorId="0" shapeId="0" xr:uid="{7637F0BB-64F2-41A3-94C8-BC4615EA8612}">
      <text>
        <r>
          <rPr>
            <b/>
            <sz val="10"/>
            <color indexed="81"/>
            <rFont val="Segoe UI"/>
            <family val="2"/>
          </rPr>
          <t xml:space="preserve">bevorzugt wasserreiche, warme Standorte, Durchwurzelungsvermögen bis 25 cm, guter Mischungspartner mit Gräsern, für ausreichende Entwicklung frühe Aussaat notwendig! Bienenweide, geringe Krankheitsanfälligkeit, </t>
        </r>
        <r>
          <rPr>
            <b/>
            <u/>
            <sz val="10"/>
            <color indexed="81"/>
            <rFont val="Segoe UI"/>
            <family val="2"/>
          </rPr>
          <t xml:space="preserve">Fruchtfolge beachten: vermehrt eine Unterart des Rübenzystennematoden </t>
        </r>
        <r>
          <rPr>
            <b/>
            <sz val="10"/>
            <color indexed="81"/>
            <rFont val="Segoe UI"/>
            <family val="2"/>
          </rPr>
          <t xml:space="preserve">
Empfohlene Mengen in Mischungen je ha: 6 bis 8 kg</t>
        </r>
      </text>
    </comment>
    <comment ref="E34" authorId="0" shapeId="0" xr:uid="{9DB3196A-7342-4FC1-B25C-DD4709B3BF53}">
      <text>
        <r>
          <rPr>
            <b/>
            <sz val="9"/>
            <color indexed="81"/>
            <rFont val="Segoe UI"/>
            <family val="2"/>
          </rPr>
          <t>Empfohlene Mengen in Mischungen je ha:
6 bis 8 kg</t>
        </r>
        <r>
          <rPr>
            <sz val="9"/>
            <color indexed="81"/>
            <rFont val="Segoe UI"/>
            <family val="2"/>
          </rPr>
          <t xml:space="preserve">
</t>
        </r>
      </text>
    </comment>
    <comment ref="A35" authorId="0" shapeId="0" xr:uid="{1B3095C2-3444-4719-87A6-67D2AA420503}">
      <text>
        <r>
          <rPr>
            <b/>
            <sz val="10"/>
            <color indexed="81"/>
            <rFont val="Segoe UI"/>
            <family val="2"/>
          </rPr>
          <t>Pfahlwurzel mit seitlichen Feinwurzeln, kalte Standorte meiden, fruchtfolge- u. nematodenneutral (Wasserblattgewächs), trockenheitsresistent.
Nicht in Kartoffelfruchtfolgen, da sie das Rattlevirus übertragen kann. 
Empfohlene Mengen in Mischungen je ha: 2 bis 4 kg</t>
        </r>
      </text>
    </comment>
    <comment ref="E35" authorId="0" shapeId="0" xr:uid="{DC68F610-990A-4A58-B738-C2F586CD73EE}">
      <text>
        <r>
          <rPr>
            <b/>
            <sz val="9"/>
            <color indexed="81"/>
            <rFont val="Segoe UI"/>
            <family val="2"/>
          </rPr>
          <t>Empfohlene Mengen in Mischungen je ha:
2 bis 4 kg</t>
        </r>
        <r>
          <rPr>
            <sz val="9"/>
            <color indexed="81"/>
            <rFont val="Segoe UI"/>
            <family val="2"/>
          </rPr>
          <t xml:space="preserve">
</t>
        </r>
      </text>
    </comment>
    <comment ref="A36" authorId="0" shapeId="0" xr:uid="{5F1F86B3-19A9-422C-A334-ED6F226D745F}">
      <text>
        <r>
          <rPr>
            <b/>
            <sz val="10"/>
            <color indexed="81"/>
            <rFont val="Segoe UI"/>
            <family val="2"/>
          </rPr>
          <t>bildet Neurotoxin - Verringerung der Schnecken (moluskizide Wirkung) und Blattläuse (insektizide Wirkung). Trockenheitsverträglich, sehr hohes N-Bindungsvermögen (daher nur in Mischungen verwenden).</t>
        </r>
        <r>
          <rPr>
            <sz val="9"/>
            <color indexed="81"/>
            <rFont val="Segoe UI"/>
            <family val="2"/>
          </rPr>
          <t xml:space="preserve">
</t>
        </r>
      </text>
    </comment>
    <comment ref="A37" authorId="0" shapeId="0" xr:uid="{245917A5-1FED-4D22-A2BE-AB7A84EA1B54}">
      <text>
        <r>
          <rPr>
            <b/>
            <sz val="10"/>
            <color indexed="81"/>
            <rFont val="Segoe UI"/>
            <family val="2"/>
          </rPr>
          <t>Sehr gutes Durchwurzelungsvermögen, unempfindlich gegen trockene Witterung, fruchtfolgeneutral, hinterlässt sehr guten Boden, stark stickstoffaneignend, sollte nicht abblühen, vorher schlegeln</t>
        </r>
      </text>
    </comment>
    <comment ref="A38" authorId="0" shapeId="0" xr:uid="{DA88544F-301D-4A8B-878C-89FD4AA592DB}">
      <text>
        <r>
          <rPr>
            <b/>
            <sz val="10"/>
            <color indexed="81"/>
            <rFont val="Segoe UI"/>
            <family val="2"/>
          </rPr>
          <t xml:space="preserve">ertragreiche, eiweißreiche, winterharte und ausdauernde Futterleguminose, für kühlere und feuchte Lagen. Pfahlwurzel mit stark verzweigten Nebenwurzeln, für über- und mehrjährige Gemenge sowie Rotationsbrache geeignet.
</t>
        </r>
        <r>
          <rPr>
            <b/>
            <u/>
            <sz val="10"/>
            <color indexed="81"/>
            <rFont val="Segoe UI"/>
            <family val="2"/>
          </rPr>
          <t>Fruchtfolge:</t>
        </r>
        <r>
          <rPr>
            <b/>
            <sz val="10"/>
            <color indexed="81"/>
            <rFont val="Segoe UI"/>
            <family val="2"/>
          </rPr>
          <t xml:space="preserve"> Guter Vorfruchtwert für Folgekulturen, jedoch wenig selbstverträglich, Anbaupause 4-6 Jahre.</t>
        </r>
      </text>
    </comment>
    <comment ref="A39" authorId="0" shapeId="0" xr:uid="{A0181221-97AE-47D3-9FAD-F5C64151B705}">
      <text>
        <r>
          <rPr>
            <b/>
            <sz val="10"/>
            <color indexed="81"/>
            <rFont val="Segoe UI"/>
            <family val="2"/>
          </rPr>
          <t>rasche Jugendentwicklung, höheres Stickstoffbildungsvermögen und intensivere Durchwurzelung als Futtererbse, für trockene Standorte geeignet, niedriger Wuchs, hohe Massenentwicklung, bevorzugt bindige, kalkreiche Böden, Wildäsungspflanze. Streufähig.</t>
        </r>
        <r>
          <rPr>
            <sz val="9"/>
            <color indexed="81"/>
            <rFont val="Segoe UI"/>
            <family val="2"/>
          </rPr>
          <t xml:space="preserve">
</t>
        </r>
      </text>
    </comment>
    <comment ref="A40" authorId="0" shapeId="0" xr:uid="{1509D4DB-D7E4-4BC3-92CD-BF807F9EFA24}">
      <text>
        <r>
          <rPr>
            <b/>
            <sz val="10"/>
            <color indexed="81"/>
            <rFont val="Segoe UI"/>
            <family val="2"/>
          </rPr>
          <t>rasche Jugendentwicklung, gute Unkrautunterdrückung, bevorzugt mittlere und schwere kalkhältige Lehmböden, gutes Durchwurzelungsvermögen - intensives schnellwachsendes Wurzelwerk (Feinwurzler) fördert Bodengare, trockenheitsresistent, niedriger Wuchs, eiweißreiches Grünfutter, 
Empfohlene Mengen in Mischungen je ha: 10 bis 20 kg</t>
        </r>
        <r>
          <rPr>
            <sz val="10"/>
            <color indexed="81"/>
            <rFont val="Segoe UI"/>
            <family val="2"/>
          </rPr>
          <t xml:space="preserve">
</t>
        </r>
      </text>
    </comment>
    <comment ref="E40" authorId="0" shapeId="0" xr:uid="{340F9617-C7A1-43C8-A4AA-6807A2657268}">
      <text>
        <r>
          <rPr>
            <b/>
            <sz val="9"/>
            <color indexed="81"/>
            <rFont val="Segoe UI"/>
            <family val="2"/>
          </rPr>
          <t>Empfohlene Mengen in Mischungen je ha:
10 bis 20 kg</t>
        </r>
        <r>
          <rPr>
            <sz val="9"/>
            <color indexed="81"/>
            <rFont val="Segoe UI"/>
            <family val="2"/>
          </rPr>
          <t xml:space="preserve">
</t>
        </r>
      </text>
    </comment>
    <comment ref="A41" authorId="0" shapeId="0" xr:uid="{4C4F8CD4-73FD-4C6D-8090-0F888B46DE66}">
      <text>
        <r>
          <rPr>
            <b/>
            <sz val="10"/>
            <color indexed="81"/>
            <rFont val="Segoe UI"/>
            <family val="2"/>
          </rPr>
          <t>Korbblütler, Tiefwurzler, frostet sicher ab</t>
        </r>
      </text>
    </comment>
    <comment ref="A42" authorId="0" shapeId="0" xr:uid="{A16DE558-66A4-4C79-BC81-D8FC393453EC}">
      <text>
        <r>
          <rPr>
            <b/>
            <sz val="10"/>
            <color indexed="81"/>
            <rFont val="Segoe UI"/>
            <family val="2"/>
          </rPr>
          <t>Sandhafer gedeiht auf allen Bodenarten und durchwurzelt den Boden optimal. Der dichte Aufwuchs bringt schnell große Mengen an organischer Masse, die auch als Silage für die Viehfütterung nutzbar ist. Fruchtfolgeneutral. Sorte PRATEX zur Bekämpfung von Pratylenchus penetrans (Wurzelläsionsälchen).
Empfohlene Mengen in Mischungen je ha: 20 bis 40 kg</t>
        </r>
      </text>
    </comment>
    <comment ref="E42" authorId="0" shapeId="0" xr:uid="{F5E11A21-1401-4219-ADB2-19888DE89378}">
      <text>
        <r>
          <rPr>
            <b/>
            <sz val="9"/>
            <color indexed="81"/>
            <rFont val="Segoe UI"/>
            <family val="2"/>
          </rPr>
          <t>Empfohlene Mengen in Mischungen je ha:
20 bis 40 kg</t>
        </r>
        <r>
          <rPr>
            <sz val="9"/>
            <color indexed="81"/>
            <rFont val="Segoe UI"/>
            <family val="2"/>
          </rPr>
          <t xml:space="preserve">
</t>
        </r>
      </text>
    </comment>
    <comment ref="A43" authorId="0" shapeId="0" xr:uid="{F4884DDA-EF50-43E6-ACC8-02C9BAC30D34}">
      <text>
        <r>
          <rPr>
            <b/>
            <sz val="10"/>
            <color indexed="81"/>
            <rFont val="Segoe UI"/>
            <family val="2"/>
          </rPr>
          <t>bessere Durchwurzelung als Senf, Bodenstrukturverbesserung durch kräftiges, tiefreichendes Wurzelwerk, geringe Blühneigung, gute Silageeignung. Streufähig.</t>
        </r>
        <r>
          <rPr>
            <sz val="9"/>
            <color indexed="81"/>
            <rFont val="Segoe UI"/>
            <family val="2"/>
          </rPr>
          <t xml:space="preserve">
</t>
        </r>
      </text>
    </comment>
    <comment ref="A45" authorId="0" shapeId="0" xr:uid="{53640D38-478C-4974-A82B-1CBD6C8B0B8A}">
      <text>
        <r>
          <rPr>
            <b/>
            <sz val="9"/>
            <color indexed="81"/>
            <rFont val="Segoe UI"/>
            <family val="2"/>
          </rPr>
          <t>Empfohlene Mengen in Mischungen je ha:
0,25 bis 0,5 kg</t>
        </r>
        <r>
          <rPr>
            <sz val="9"/>
            <color indexed="81"/>
            <rFont val="Segoe UI"/>
            <family val="2"/>
          </rPr>
          <t xml:space="preserve">
</t>
        </r>
      </text>
    </comment>
    <comment ref="E45" authorId="0" shapeId="0" xr:uid="{076270E0-F51B-4576-B894-C0B3D68DFFE8}">
      <text>
        <r>
          <rPr>
            <b/>
            <sz val="9"/>
            <color indexed="81"/>
            <rFont val="Segoe UI"/>
            <family val="2"/>
          </rPr>
          <t>Empfohlene Mengen in Mischungen je ha:
0,25 bis 0,5 kg</t>
        </r>
        <r>
          <rPr>
            <sz val="9"/>
            <color indexed="81"/>
            <rFont val="Segoe UI"/>
            <family val="2"/>
          </rPr>
          <t xml:space="preserve">
</t>
        </r>
      </text>
    </comment>
    <comment ref="A46" authorId="0" shapeId="0" xr:uid="{616752B3-6BFC-4FB4-9BB4-268F0E263228}">
      <text>
        <r>
          <rPr>
            <b/>
            <sz val="10"/>
            <color indexed="81"/>
            <rFont val="Segoe UI"/>
            <family val="2"/>
          </rPr>
          <t>Kreuzblütler, nematodenresistent bei rechtzeitigem Anbau - ideal bei Zuckerrübenfruchtfolge, schnelle Jugendentwicklung</t>
        </r>
      </text>
    </comment>
    <comment ref="A47" authorId="0" shapeId="0" xr:uid="{EAA9CE5D-BD2E-428C-97BD-F0129760941C}">
      <text>
        <r>
          <rPr>
            <b/>
            <sz val="10"/>
            <color indexed="81"/>
            <rFont val="Segoe UI"/>
            <family val="2"/>
          </rPr>
          <t>rasche Keimung, hohe Blattmasse, rasche Bodenbedeckung, nährstoffreiches Futter, gute Durchwurzelung, Anbaupausen einhalten (Kohlhernie), Achtung bei Zuckerrübe als Fruchtfolgeglied (Nematoden!). Streufähig.</t>
        </r>
        <r>
          <rPr>
            <b/>
            <sz val="9"/>
            <color indexed="81"/>
            <rFont val="Segoe UI"/>
            <family val="2"/>
          </rPr>
          <t xml:space="preserve">
</t>
        </r>
      </text>
    </comment>
    <comment ref="A48" authorId="0" shapeId="0" xr:uid="{D4E26C9C-B697-456F-A842-C5EE92EE466D}">
      <text>
        <r>
          <rPr>
            <b/>
            <sz val="10"/>
            <color indexed="81"/>
            <rFont val="Segoe UI"/>
            <family val="2"/>
          </rPr>
          <t>Spätsaatverträgliche ZWF, schneller Wuchs, friet sicher ab;
Empfohlene Mengen in Mischungen je ha: 0,5 bis 1,5 kg</t>
        </r>
      </text>
    </comment>
    <comment ref="A49" authorId="0" shapeId="0" xr:uid="{16E33EB5-B4E0-401F-8163-E5405006F67C}">
      <text>
        <r>
          <rPr>
            <b/>
            <sz val="10"/>
            <color indexed="81"/>
            <rFont val="Segoe UI"/>
            <family val="2"/>
          </rPr>
          <t>mehrjährige, robuste und eine der calciumreichsten Kräuterpflanzen, trockenresistent</t>
        </r>
        <r>
          <rPr>
            <sz val="10"/>
            <color indexed="81"/>
            <rFont val="Segoe UI"/>
            <family val="2"/>
          </rPr>
          <t xml:space="preserve">
</t>
        </r>
      </text>
    </comment>
    <comment ref="A50" authorId="0" shapeId="0" xr:uid="{19832822-325C-473C-93D1-E3FC280F58E4}">
      <text>
        <r>
          <rPr>
            <b/>
            <sz val="10"/>
            <color indexed="81"/>
            <rFont val="Segoe UI"/>
            <family val="2"/>
          </rPr>
          <t>zweijährig - Blütenbildung im 2. Jahr, für mehrjährige Gründüngungsgemische, sehr gute Wuchseigenschaften, durchwurzelt auch verdichtete Böden, anspruchslose, kalkliebende Pflanze, Feinwurzler, Bienenweide, gute Meliorationspflanze, keine Futternutzung aufgrund Cumaringehaltes</t>
        </r>
        <r>
          <rPr>
            <sz val="9"/>
            <color indexed="81"/>
            <rFont val="Segoe UI"/>
            <family val="2"/>
          </rPr>
          <t xml:space="preserve">
</t>
        </r>
      </text>
    </comment>
    <comment ref="A51" authorId="0" shapeId="0" xr:uid="{CB9AC1A5-5E7A-4D00-99E4-41C04A683A20}">
      <text>
        <r>
          <rPr>
            <b/>
            <sz val="10"/>
            <color indexed="81"/>
            <rFont val="Segoe UI"/>
            <family val="2"/>
          </rPr>
          <t>hohes Nachwuchsvermögen, Nutzung als Grünfutter/Silage ab 60 cm vor Beginn des Rispenschieben; Nutzung für Biogasproduktion möglich;
Empfohlene Mengen in Mischungen je ha: 3 bis 5 kg</t>
        </r>
        <r>
          <rPr>
            <sz val="10"/>
            <color indexed="81"/>
            <rFont val="Segoe UI"/>
            <family val="2"/>
          </rPr>
          <t xml:space="preserve">
</t>
        </r>
      </text>
    </comment>
    <comment ref="E51" authorId="0" shapeId="0" xr:uid="{BE28CC22-2F87-41B4-B07F-099C40E5ECB0}">
      <text>
        <r>
          <rPr>
            <b/>
            <sz val="9"/>
            <color indexed="81"/>
            <rFont val="Segoe UI"/>
            <family val="2"/>
          </rPr>
          <t>Empfohlene Mengen in Mischungen je ha:
3 bis 5 kg</t>
        </r>
        <r>
          <rPr>
            <sz val="9"/>
            <color indexed="81"/>
            <rFont val="Segoe UI"/>
            <family val="2"/>
          </rPr>
          <t xml:space="preserve">
</t>
        </r>
      </text>
    </comment>
    <comment ref="A52" authorId="0" shapeId="0" xr:uid="{A805E75B-6D1F-44B8-88D2-1B025E759341}">
      <text>
        <r>
          <rPr>
            <b/>
            <sz val="10"/>
            <color indexed="81"/>
            <rFont val="Segoe UI"/>
            <family val="2"/>
          </rPr>
          <t>anspruchslose Gräserart, bestockt stärker als Roggen, gutes Wurzelwerk, überwinternd,  auch für ärmste Böden geeignet, für Wildacker geeignet, gute Wildäsung</t>
        </r>
      </text>
    </comment>
    <comment ref="A53" authorId="0" shapeId="0" xr:uid="{0183616E-7903-4499-96F4-CD7B175CBCB5}">
      <text>
        <r>
          <rPr>
            <b/>
            <sz val="10"/>
            <color indexed="81"/>
            <rFont val="Segoe UI"/>
            <family val="2"/>
          </rPr>
          <t>ausdauernd / winterhart, kurzwüchsig, geeignet für Untersaaten wegen niedrigem Wuchs, geringe Ansprüche an Boden und Klima aber lichtbedürftig, verhindert lückigen Bestand, Mischungspartner mit Gräser. fruchtfolgeneutral</t>
        </r>
        <r>
          <rPr>
            <b/>
            <sz val="9"/>
            <color indexed="81"/>
            <rFont val="Segoe UI"/>
            <family val="2"/>
          </rPr>
          <t xml:space="preserve">
</t>
        </r>
      </text>
    </comment>
    <comment ref="A55" authorId="0" shapeId="0" xr:uid="{AE14DD27-DFC9-4B7E-B31B-9368ED65A813}">
      <text>
        <r>
          <rPr>
            <b/>
            <sz val="10"/>
            <color indexed="81"/>
            <rFont val="Segoe UI"/>
            <family val="2"/>
          </rPr>
          <t xml:space="preserve">rasche Bodenbedeckung, gute Durchwurzelung, Anbaupausen 
einhalten (Kohlhernie), geht im Anbaujahr nicht in Blüte, bringt nährstoffreiches Futter, Achtung bei Zuckerrübe als 
Fruchtfolgeglied (Nematoden!). </t>
        </r>
        <r>
          <rPr>
            <sz val="9"/>
            <color indexed="81"/>
            <rFont val="Segoe UI"/>
            <family val="2"/>
          </rPr>
          <t xml:space="preserve">
</t>
        </r>
      </text>
    </comment>
    <comment ref="A56" authorId="0" shapeId="0" xr:uid="{D522CB83-BA90-49DA-B5C5-D137D24C11FB}">
      <text>
        <r>
          <rPr>
            <b/>
            <sz val="10"/>
            <color indexed="81"/>
            <rFont val="Segoe UI"/>
            <family val="2"/>
          </rPr>
          <t>Kreuzblütler, raschwüchsig, mehrschnittig, gute Gülleverwertung, winterhart; spätsaatverträglich;
Empfohlene Mengen in Mischungen je ha: 2 bis 4 kg</t>
        </r>
        <r>
          <rPr>
            <sz val="9"/>
            <color indexed="81"/>
            <rFont val="Segoe UI"/>
            <family val="2"/>
          </rPr>
          <t xml:space="preserve">
</t>
        </r>
      </text>
    </comment>
    <comment ref="E56" authorId="0" shapeId="0" xr:uid="{A1FA87E6-9092-4349-AC62-ADA36A3AB428}">
      <text>
        <r>
          <rPr>
            <b/>
            <sz val="9"/>
            <color indexed="81"/>
            <rFont val="Segoe UI"/>
            <family val="2"/>
          </rPr>
          <t>Empfohlene Mengen in Mischungen je ha:
2 bis 4 kg</t>
        </r>
        <r>
          <rPr>
            <sz val="9"/>
            <color indexed="81"/>
            <rFont val="Segoe UI"/>
            <family val="2"/>
          </rPr>
          <t xml:space="preserve">
</t>
        </r>
      </text>
    </comment>
    <comment ref="A57" authorId="0" shapeId="0" xr:uid="{41CC28B4-4F58-4FC0-A399-044110DEB7A7}">
      <text>
        <r>
          <rPr>
            <b/>
            <sz val="10"/>
            <color indexed="81"/>
            <rFont val="Segoe UI"/>
            <family val="2"/>
          </rPr>
          <t>überwinternd, guter Mischungspartner in Begrünungsmischungen, Feinwurzler, Stickstoffsammler, bevorzugt durchlässige warme Sandböden, sonst geringe Boden bzw. Standortansprüche, gute Bodenbedeckung, bildet auch noch in der kalten Jahreszeit Wurzelmasse</t>
        </r>
      </text>
    </comment>
    <comment ref="A58" authorId="0" shapeId="0" xr:uid="{4D95A6B7-F52E-4EED-AF67-D8EBDD2FEF1F}">
      <text>
        <r>
          <rPr>
            <b/>
            <sz val="10"/>
            <color indexed="81"/>
            <rFont val="Segoe UI"/>
            <family val="2"/>
          </rPr>
          <t>mehrjährige, ausdauernde Kräuterart, die gesundheitsfördernde Stoffe enthält, gute Trockenheitsresistenz</t>
        </r>
      </text>
    </comment>
    <comment ref="A59" authorId="0" shapeId="0" xr:uid="{E258C7C3-8F06-449D-9E94-EC1D1A74C0DA}">
      <text>
        <r>
          <rPr>
            <b/>
            <sz val="10"/>
            <color indexed="81"/>
            <rFont val="Segoe UI"/>
            <family val="2"/>
          </rPr>
          <t>intensives Wurzelwachstum; klimafit - wetterfest; sicher abfrostend; einzigartige Mulchauflage im Frühjahr</t>
        </r>
      </text>
    </comment>
    <comment ref="A60" authorId="0" shapeId="0" xr:uid="{00000000-0006-0000-0100-000003000000}">
      <text>
        <r>
          <rPr>
            <b/>
            <sz val="9"/>
            <color indexed="81"/>
            <rFont val="Segoe UI"/>
            <family val="2"/>
          </rPr>
          <t>Eingabemöglichkeit für nicht gelistete Kulturen</t>
        </r>
      </text>
    </comment>
    <comment ref="I60" authorId="0" shapeId="0" xr:uid="{00000000-0006-0000-0100-000004000000}">
      <text>
        <r>
          <rPr>
            <b/>
            <sz val="9"/>
            <color indexed="81"/>
            <rFont val="Segoe UI"/>
            <family val="2"/>
          </rPr>
          <t>Pflanzenfamilie auswählen oder selber eingeben</t>
        </r>
      </text>
    </comment>
    <comment ref="M60" authorId="0" shapeId="0" xr:uid="{00000000-0006-0000-0100-000005000000}">
      <text>
        <r>
          <rPr>
            <b/>
            <sz val="9"/>
            <color indexed="81"/>
            <rFont val="Segoe UI"/>
            <family val="2"/>
          </rPr>
          <t>Nur auswählen, wenn zutreffend. Es sind Grünschnittroggen, Pannonische Wicke, Zottelwicke, Winterackerbohne, Wintererbse, Winterrübsen (inkl. Perko) gem. Varainte 6 zulässig</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Kriegner-Schramml Simon</author>
  </authors>
  <commentList>
    <comment ref="H4" authorId="0" shapeId="0" xr:uid="{00000000-0006-0000-0200-000001000000}">
      <text>
        <r>
          <rPr>
            <b/>
            <u/>
            <sz val="11"/>
            <color indexed="81"/>
            <rFont val="Segoe UI"/>
            <family val="2"/>
          </rPr>
          <t>HINWEIS:</t>
        </r>
        <r>
          <rPr>
            <b/>
            <sz val="11"/>
            <color indexed="81"/>
            <rFont val="Segoe UI"/>
            <family val="2"/>
          </rPr>
          <t xml:space="preserve"> es zählt Bestand am Feld, dieser Hinweis ist ausschließlich als Orientierungshilfe zu sehen.</t>
        </r>
        <r>
          <rPr>
            <sz val="10"/>
            <color indexed="81"/>
            <rFont val="Segoe UI"/>
            <family val="2"/>
          </rPr>
          <t xml:space="preserve">
bei Zwischenfrüchten mit einem Leguminosenanteil &gt;60% ist ein Vorfruchtwert zu berücksichtigen (ungenutzt: 20 kg N; genutzt 10 kg N);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Kriegner-Schramml Simon</author>
  </authors>
  <commentList>
    <comment ref="E3" authorId="0" shapeId="0" xr:uid="{00000000-0006-0000-0300-000001000000}">
      <text>
        <r>
          <rPr>
            <sz val="9"/>
            <color indexed="81"/>
            <rFont val="Segoe UI"/>
            <family val="2"/>
          </rPr>
          <t xml:space="preserve">
Hier bitte die geplante Menge je ha angeführen</t>
        </r>
      </text>
    </comment>
    <comment ref="R4" authorId="0" shapeId="0" xr:uid="{00000000-0006-0000-0300-000002000000}">
      <text>
        <r>
          <rPr>
            <b/>
            <sz val="9"/>
            <color indexed="81"/>
            <rFont val="Segoe UI"/>
            <family val="2"/>
          </rPr>
          <t>Wenn auch nicht Var. 6 konforme Kulturen gewählt wurden</t>
        </r>
      </text>
    </comment>
    <comment ref="R5" authorId="0" shapeId="0" xr:uid="{00000000-0006-0000-0300-000003000000}">
      <text>
        <r>
          <rPr>
            <b/>
            <sz val="9"/>
            <color indexed="81"/>
            <rFont val="Segoe UI"/>
            <family val="2"/>
          </rPr>
          <t>Anzahl Var. 6 konformer Kulturen</t>
        </r>
      </text>
    </comment>
    <comment ref="A29" authorId="0" shapeId="0" xr:uid="{64DFD0AB-25FF-4B60-8F0A-220D20CB0CF9}">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A59" authorId="0" shapeId="0" xr:uid="{00000000-0006-0000-0300-000004000000}">
      <text>
        <r>
          <rPr>
            <b/>
            <sz val="9"/>
            <color indexed="81"/>
            <rFont val="Segoe UI"/>
            <family val="2"/>
          </rPr>
          <t>Eingabemöglichkeit für nicht gelistete Kulturen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Kriegner-Schramml Simon</author>
  </authors>
  <commentList>
    <comment ref="C9" authorId="0" shapeId="0" xr:uid="{F2546111-31D5-4FC6-A812-97DAFA15DC53}">
      <text>
        <r>
          <rPr>
            <b/>
            <sz val="12"/>
            <color indexed="81"/>
            <rFont val="Segoe UI"/>
            <family val="2"/>
          </rPr>
          <t>Reinsaatstärken können am Tabellenblatt "Begr.-Rechner int. Prod." angepasst werden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Kriegner-Schramml Simon</author>
  </authors>
  <commentList>
    <comment ref="A2" authorId="0" shapeId="0" xr:uid="{A948BF7F-8CB1-4E37-B16B-2BDF0A04FDAD}">
      <text>
        <r>
          <rPr>
            <b/>
            <sz val="11"/>
            <color indexed="81"/>
            <rFont val="Segoe UI"/>
            <family val="2"/>
          </rPr>
          <t>Hier kann der Name der eigenen Mischung angeführt werden</t>
        </r>
      </text>
    </comment>
    <comment ref="E2" authorId="0" shapeId="0" xr:uid="{EFAD59C3-A706-4DA0-BF06-6A8F72466CB2}">
      <text>
        <r>
          <rPr>
            <b/>
            <sz val="11"/>
            <color indexed="81"/>
            <rFont val="Segoe UI"/>
            <family val="2"/>
          </rPr>
          <t>Hier bitte die geplante Menge je ha anführen</t>
        </r>
      </text>
    </comment>
    <comment ref="L3" authorId="0" shapeId="0" xr:uid="{00000000-0006-0000-0400-000001000000}">
      <text>
        <r>
          <rPr>
            <sz val="9"/>
            <color indexed="81"/>
            <rFont val="Segoe UI"/>
            <family val="2"/>
          </rPr>
          <t>bei Zwischenfrüchten mit einem Leguminosenanteil &gt;60% ist ein Vorfruchtwert zu berücksichtigen (ungenutzt: 20 kg N; genutzt 10 kg N); HINWEIS: es zählt Bestand am Feld, dieser Hinweis ist ausschließlich als Orientierungshilfe zu sehen.</t>
        </r>
      </text>
    </comment>
    <comment ref="A4" authorId="0" shapeId="0" xr:uid="{A3ACE4CA-1BFE-445B-9426-E30034F1C953}">
      <text>
        <r>
          <rPr>
            <b/>
            <sz val="10"/>
            <color indexed="81"/>
            <rFont val="Segoe UI"/>
            <family val="2"/>
          </rPr>
          <t>gem. AGES Ausnahmeliste 2025 konv. ungebeizt verwendbar</t>
        </r>
      </text>
    </comment>
    <comment ref="E5" authorId="0" shapeId="0" xr:uid="{CCAAB118-734F-438A-8151-FD5C53894153}">
      <text>
        <r>
          <rPr>
            <b/>
            <sz val="10"/>
            <color indexed="81"/>
            <rFont val="Segoe UI"/>
            <family val="2"/>
          </rPr>
          <t>Empfohlene Mengen in Mischungen je ha:
6 bis 8 kg</t>
        </r>
        <r>
          <rPr>
            <sz val="9"/>
            <color indexed="81"/>
            <rFont val="Segoe UI"/>
            <family val="2"/>
          </rPr>
          <t xml:space="preserve">
</t>
        </r>
      </text>
    </comment>
    <comment ref="A7" authorId="0" shapeId="0" xr:uid="{428AC2B7-B104-403A-B7E4-8091D2B7DE82}">
      <text>
        <r>
          <rPr>
            <b/>
            <sz val="10"/>
            <color indexed="81"/>
            <rFont val="Segoe UI"/>
            <family val="2"/>
          </rPr>
          <t>gem. AGES Ausnahmeliste 2025 konv. ungebeizt verwendbar</t>
        </r>
      </text>
    </comment>
    <comment ref="E8" authorId="0" shapeId="0" xr:uid="{F593C812-6DB4-4540-B179-AD1C805E7F6D}">
      <text>
        <r>
          <rPr>
            <b/>
            <sz val="9"/>
            <color indexed="81"/>
            <rFont val="Segoe UI"/>
            <family val="2"/>
          </rPr>
          <t>Empfohlene Mengen in Mischungen je ha:
10 bis 15 kg</t>
        </r>
        <r>
          <rPr>
            <sz val="9"/>
            <color indexed="81"/>
            <rFont val="Segoe UI"/>
            <family val="2"/>
          </rPr>
          <t xml:space="preserve">
</t>
        </r>
      </text>
    </comment>
    <comment ref="E9" authorId="0" shapeId="0" xr:uid="{F1EDC00A-7D9F-40C3-B486-8AE3B7B7F2E5}">
      <text>
        <r>
          <rPr>
            <b/>
            <sz val="9"/>
            <color indexed="81"/>
            <rFont val="Segoe UI"/>
            <family val="2"/>
          </rPr>
          <t>Empfohlene Mengen in Mischungen je ha:
10 bis 15 kg</t>
        </r>
        <r>
          <rPr>
            <sz val="9"/>
            <color indexed="81"/>
            <rFont val="Segoe UI"/>
            <family val="2"/>
          </rPr>
          <t xml:space="preserve">
</t>
        </r>
      </text>
    </comment>
    <comment ref="A14" authorId="0" shapeId="0" xr:uid="{E948948E-18AE-4DED-A75B-2E19B179214E}">
      <text>
        <r>
          <rPr>
            <b/>
            <sz val="10"/>
            <color indexed="81"/>
            <rFont val="Segoe UI"/>
            <family val="2"/>
          </rPr>
          <t>gem. AGES Ausnahmeliste 2025 konv. ungebeizt verwendbar</t>
        </r>
        <r>
          <rPr>
            <sz val="9"/>
            <color indexed="81"/>
            <rFont val="Segoe UI"/>
            <family val="2"/>
          </rPr>
          <t xml:space="preserve">
</t>
        </r>
      </text>
    </comment>
    <comment ref="A16" authorId="0" shapeId="0" xr:uid="{29DF441B-0F6A-4602-B5CE-01C9E7A45ED8}">
      <text>
        <r>
          <rPr>
            <b/>
            <sz val="10"/>
            <color indexed="81"/>
            <rFont val="Segoe UI"/>
            <family val="2"/>
          </rPr>
          <t>gem. AGES Ausnahmeliste 2025 konv. ungebeizt verwendbar</t>
        </r>
      </text>
    </comment>
    <comment ref="E19" authorId="0" shapeId="0" xr:uid="{A956B248-5C73-487D-B4CE-76BC51BD6750}">
      <text>
        <r>
          <rPr>
            <b/>
            <sz val="9"/>
            <color indexed="81"/>
            <rFont val="Segoe UI"/>
            <family val="2"/>
          </rPr>
          <t>Empfohlene Mengen in Mischungen je ha:
0,5 bis 1,5 kg</t>
        </r>
        <r>
          <rPr>
            <sz val="9"/>
            <color indexed="81"/>
            <rFont val="Segoe UI"/>
            <family val="2"/>
          </rPr>
          <t xml:space="preserve">
</t>
        </r>
      </text>
    </comment>
    <comment ref="A20" authorId="0" shapeId="0" xr:uid="{B796115A-4620-4AB7-89DF-A6CE84848950}">
      <text>
        <r>
          <rPr>
            <b/>
            <sz val="10"/>
            <color indexed="81"/>
            <rFont val="Segoe UI"/>
            <family val="2"/>
          </rPr>
          <t>gem. AGES Ausnahmeliste 2025 konv. ungebeizt verwendbar</t>
        </r>
        <r>
          <rPr>
            <sz val="9"/>
            <color indexed="81"/>
            <rFont val="Segoe UI"/>
            <family val="2"/>
          </rPr>
          <t xml:space="preserve">
</t>
        </r>
      </text>
    </comment>
    <comment ref="A21" authorId="0" shapeId="0" xr:uid="{84036DC3-72A3-4DC3-B1FE-2D5E903CB32A}">
      <text>
        <r>
          <rPr>
            <b/>
            <sz val="10"/>
            <color indexed="81"/>
            <rFont val="Segoe UI"/>
            <family val="2"/>
          </rPr>
          <t>gem. AGES Ausnahmeliste 2025 konv. ungebeizt verwendbar</t>
        </r>
        <r>
          <rPr>
            <sz val="10"/>
            <color indexed="81"/>
            <rFont val="Segoe UI"/>
            <family val="2"/>
          </rPr>
          <t xml:space="preserve">
</t>
        </r>
      </text>
    </comment>
    <comment ref="E25" authorId="0" shapeId="0" xr:uid="{717A811F-56AD-4342-AE45-FB7DDE338B58}">
      <text>
        <r>
          <rPr>
            <b/>
            <sz val="9"/>
            <color indexed="81"/>
            <rFont val="Segoe UI"/>
            <family val="2"/>
          </rPr>
          <t>Empfohlene Mengen in Mischungen je ha:
1 bis 1,5 kg</t>
        </r>
        <r>
          <rPr>
            <sz val="9"/>
            <color indexed="81"/>
            <rFont val="Segoe UI"/>
            <family val="2"/>
          </rPr>
          <t xml:space="preserve">
</t>
        </r>
      </text>
    </comment>
    <comment ref="A26" authorId="0" shapeId="0" xr:uid="{D14A4338-5679-45D2-9A63-FA190227F79A}">
      <text>
        <r>
          <rPr>
            <b/>
            <sz val="10"/>
            <color indexed="81"/>
            <rFont val="Segoe UI"/>
            <family val="2"/>
          </rPr>
          <t>gem. AGES Ausnahmeliste 2025 konv. ungebeizt verwendbar</t>
        </r>
        <r>
          <rPr>
            <sz val="9"/>
            <color indexed="81"/>
            <rFont val="Segoe UI"/>
            <family val="2"/>
          </rPr>
          <t xml:space="preserve">
</t>
        </r>
      </text>
    </comment>
    <comment ref="E26" authorId="0" shapeId="0" xr:uid="{F0E2CEA4-A137-40CB-9117-BAA2573A9460}">
      <text>
        <r>
          <rPr>
            <b/>
            <sz val="9"/>
            <color indexed="81"/>
            <rFont val="Segoe UI"/>
            <family val="2"/>
          </rPr>
          <t>Empfohlene Mengen in Mischungen je ha:
1 bis 1,5 kg</t>
        </r>
        <r>
          <rPr>
            <sz val="9"/>
            <color indexed="81"/>
            <rFont val="Segoe UI"/>
            <family val="2"/>
          </rPr>
          <t xml:space="preserve">
</t>
        </r>
      </text>
    </comment>
    <comment ref="A27" authorId="0" shapeId="0" xr:uid="{653CEAAE-9AB4-40B6-9640-A6A582660116}">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E27" authorId="0" shapeId="0" xr:uid="{BFC6CB3F-4D18-4808-B3E2-734CFA7EC151}">
      <text>
        <r>
          <rPr>
            <b/>
            <sz val="9"/>
            <color indexed="81"/>
            <rFont val="Segoe UI"/>
            <family val="2"/>
          </rPr>
          <t>Empfohlene Mengen in Mischungen je ha:
0,5 bis 0,8 kg</t>
        </r>
        <r>
          <rPr>
            <sz val="9"/>
            <color indexed="81"/>
            <rFont val="Segoe UI"/>
            <family val="2"/>
          </rPr>
          <t xml:space="preserve">
</t>
        </r>
      </text>
    </comment>
    <comment ref="E28" authorId="0" shapeId="0" xr:uid="{52174BBE-7640-4338-A7B9-D9DA5C5AFFAE}">
      <text>
        <r>
          <rPr>
            <b/>
            <sz val="9"/>
            <color indexed="81"/>
            <rFont val="Segoe UI"/>
            <family val="2"/>
          </rPr>
          <t>Empfohlene Mengen in Mischungen je ha:
2 bis 5 kg</t>
        </r>
        <r>
          <rPr>
            <sz val="9"/>
            <color indexed="81"/>
            <rFont val="Segoe UI"/>
            <family val="2"/>
          </rPr>
          <t xml:space="preserve">
</t>
        </r>
      </text>
    </comment>
    <comment ref="E29" authorId="0" shapeId="0" xr:uid="{97F3E4C7-D622-47F0-8543-4233495EE703}">
      <text>
        <r>
          <rPr>
            <b/>
            <sz val="9"/>
            <color indexed="81"/>
            <rFont val="Segoe UI"/>
            <family val="2"/>
          </rPr>
          <t>Empfohlene Mengen in Mischungen je ha:
6 bis 8 kg</t>
        </r>
        <r>
          <rPr>
            <sz val="9"/>
            <color indexed="81"/>
            <rFont val="Segoe UI"/>
            <family val="2"/>
          </rPr>
          <t xml:space="preserve">
</t>
        </r>
      </text>
    </comment>
    <comment ref="E30" authorId="0" shapeId="0" xr:uid="{F7BBC402-0939-4E04-A5BF-B725F22C4918}">
      <text>
        <r>
          <rPr>
            <b/>
            <sz val="9"/>
            <color indexed="81"/>
            <rFont val="Segoe UI"/>
            <family val="2"/>
          </rPr>
          <t>Empfohlene Mengen in Mischungen je ha:
2 bis 4 kg</t>
        </r>
        <r>
          <rPr>
            <sz val="9"/>
            <color indexed="81"/>
            <rFont val="Segoe UI"/>
            <family val="2"/>
          </rPr>
          <t xml:space="preserve">
</t>
        </r>
      </text>
    </comment>
    <comment ref="A32" authorId="0" shapeId="0" xr:uid="{9A6604CD-01AE-4D8C-A49C-86C090100D50}">
      <text>
        <r>
          <rPr>
            <b/>
            <sz val="9"/>
            <color indexed="81"/>
            <rFont val="Segoe UI"/>
            <family val="2"/>
          </rPr>
          <t>gem. AGES Ausnahmeliste 2025 konv. ungebeizt verwendbar</t>
        </r>
        <r>
          <rPr>
            <sz val="9"/>
            <color indexed="81"/>
            <rFont val="Segoe UI"/>
            <family val="2"/>
          </rPr>
          <t xml:space="preserve">
</t>
        </r>
      </text>
    </comment>
    <comment ref="E35" authorId="0" shapeId="0" xr:uid="{D2685313-B57C-42F9-9FBC-550C7ADC95D0}">
      <text>
        <r>
          <rPr>
            <b/>
            <sz val="9"/>
            <color indexed="81"/>
            <rFont val="Segoe UI"/>
            <family val="2"/>
          </rPr>
          <t>Empfohlene Mengen in Mischungen je ha:
10 bis 20 kg</t>
        </r>
        <r>
          <rPr>
            <sz val="9"/>
            <color indexed="81"/>
            <rFont val="Segoe UI"/>
            <family val="2"/>
          </rPr>
          <t xml:space="preserve">
</t>
        </r>
      </text>
    </comment>
    <comment ref="A36" authorId="0" shapeId="0" xr:uid="{EDF4E050-C9D1-4B94-904B-766503897BCC}">
      <text>
        <r>
          <rPr>
            <b/>
            <sz val="9"/>
            <color indexed="81"/>
            <rFont val="Segoe UI"/>
            <family val="2"/>
          </rPr>
          <t>gem. AGES Ausnahmeliste 2025 konv. ungebeizt verwendbar</t>
        </r>
        <r>
          <rPr>
            <sz val="9"/>
            <color indexed="81"/>
            <rFont val="Segoe UI"/>
            <family val="2"/>
          </rPr>
          <t xml:space="preserve">
</t>
        </r>
      </text>
    </comment>
    <comment ref="A37" authorId="0" shapeId="0" xr:uid="{AD95778D-D743-414E-B5D5-42AAF7EB8A9A}">
      <text>
        <r>
          <rPr>
            <b/>
            <sz val="9"/>
            <color indexed="81"/>
            <rFont val="Segoe UI"/>
            <family val="2"/>
          </rPr>
          <t>gem. AGES Ausnahmeliste 2025 konv. ungebeizt verwendbar</t>
        </r>
        <r>
          <rPr>
            <sz val="9"/>
            <color indexed="81"/>
            <rFont val="Segoe UI"/>
            <family val="2"/>
          </rPr>
          <t xml:space="preserve">
</t>
        </r>
      </text>
    </comment>
    <comment ref="E38" authorId="0" shapeId="0" xr:uid="{50C3D273-A391-4D9C-AD96-335AA31CC72B}">
      <text>
        <r>
          <rPr>
            <b/>
            <sz val="9"/>
            <color indexed="81"/>
            <rFont val="Segoe UI"/>
            <family val="2"/>
          </rPr>
          <t>Empfohlene Mengen in Mischungen je ha:
0,25 bis 0,5 kg</t>
        </r>
        <r>
          <rPr>
            <sz val="9"/>
            <color indexed="81"/>
            <rFont val="Segoe UI"/>
            <family val="2"/>
          </rPr>
          <t xml:space="preserve">
</t>
        </r>
      </text>
    </comment>
    <comment ref="A39" authorId="0" shapeId="0" xr:uid="{C3D45F5F-2B4C-41CB-A135-075207E44BB7}">
      <text>
        <r>
          <rPr>
            <b/>
            <sz val="9"/>
            <color indexed="81"/>
            <rFont val="Segoe UI"/>
            <family val="2"/>
          </rPr>
          <t>gem. AGES Ausnahmeliste 2025 konv. ungebeizt verwendbar</t>
        </r>
        <r>
          <rPr>
            <sz val="9"/>
            <color indexed="81"/>
            <rFont val="Segoe UI"/>
            <family val="2"/>
          </rPr>
          <t xml:space="preserve">
</t>
        </r>
      </text>
    </comment>
    <comment ref="A40" authorId="0" shapeId="0" xr:uid="{21474D12-132D-4D92-A3B0-1FD8934A35DE}">
      <text>
        <r>
          <rPr>
            <b/>
            <sz val="10"/>
            <color indexed="81"/>
            <rFont val="Segoe UI"/>
            <family val="2"/>
          </rPr>
          <t>gem. AGES Ausnahmeliste 2025 konv. ungebeizt verwendbar</t>
        </r>
        <r>
          <rPr>
            <sz val="9"/>
            <color indexed="81"/>
            <rFont val="Segoe UI"/>
            <family val="2"/>
          </rPr>
          <t xml:space="preserve">
</t>
        </r>
      </text>
    </comment>
    <comment ref="A41" authorId="0" shapeId="0" xr:uid="{2503D197-8B6F-4458-BA8A-22277AE98173}">
      <text>
        <r>
          <rPr>
            <b/>
            <sz val="10"/>
            <color indexed="81"/>
            <rFont val="Segoe UI"/>
            <family val="2"/>
          </rPr>
          <t>gem. AGES Ausnahmeliste 2025 konv. ungebeizt verwendbar</t>
        </r>
        <r>
          <rPr>
            <sz val="9"/>
            <color indexed="81"/>
            <rFont val="Segoe UI"/>
            <family val="2"/>
          </rPr>
          <t xml:space="preserve">
</t>
        </r>
      </text>
    </comment>
    <comment ref="E42" authorId="0" shapeId="0" xr:uid="{73A62A2F-34CA-4C4B-9B95-B2EABBC8AB9F}">
      <text>
        <r>
          <rPr>
            <b/>
            <sz val="9"/>
            <color indexed="81"/>
            <rFont val="Segoe UI"/>
            <family val="2"/>
          </rPr>
          <t>Empfohlene Mengen in Mischungen je ha:
3 bis 5 kg</t>
        </r>
        <r>
          <rPr>
            <sz val="9"/>
            <color indexed="81"/>
            <rFont val="Segoe UI"/>
            <family val="2"/>
          </rPr>
          <t xml:space="preserve">
</t>
        </r>
      </text>
    </comment>
    <comment ref="A43" authorId="0" shapeId="0" xr:uid="{8F9C01CC-1AE9-4D6F-9C6D-2E35C963619D}">
      <text>
        <r>
          <rPr>
            <b/>
            <sz val="10"/>
            <color indexed="81"/>
            <rFont val="Segoe UI"/>
            <family val="2"/>
          </rPr>
          <t>gem. AGES Ausnahmeliste 2025 konv. ungebeizt verwendbar</t>
        </r>
        <r>
          <rPr>
            <sz val="9"/>
            <color indexed="81"/>
            <rFont val="Segoe UI"/>
            <family val="2"/>
          </rPr>
          <t xml:space="preserve">
</t>
        </r>
      </text>
    </comment>
    <comment ref="E43" authorId="0" shapeId="0" xr:uid="{AF0294BF-884A-4FFB-A15C-4BD2671041FD}">
      <text>
        <r>
          <rPr>
            <b/>
            <sz val="9"/>
            <color indexed="81"/>
            <rFont val="Segoe UI"/>
            <family val="2"/>
          </rPr>
          <t>Empfohlene Mengen in Mischungen je ha:
3 bis 5 kg</t>
        </r>
        <r>
          <rPr>
            <sz val="9"/>
            <color indexed="81"/>
            <rFont val="Segoe UI"/>
            <family val="2"/>
          </rPr>
          <t xml:space="preserve">
</t>
        </r>
      </text>
    </comment>
    <comment ref="A47" authorId="0" shapeId="0" xr:uid="{B8B536FC-C062-493E-AD10-7EABD82AEC3F}">
      <text>
        <r>
          <rPr>
            <b/>
            <sz val="10"/>
            <color indexed="81"/>
            <rFont val="Segoe UI"/>
            <family val="2"/>
          </rPr>
          <t>gem. AGES Ausnahmeliste 2025 konv. ungebeizt verwendbar</t>
        </r>
        <r>
          <rPr>
            <sz val="9"/>
            <color indexed="81"/>
            <rFont val="Segoe UI"/>
            <family val="2"/>
          </rPr>
          <t xml:space="preserve">
</t>
        </r>
      </text>
    </comment>
    <comment ref="A48" authorId="0" shapeId="0" xr:uid="{72206EC7-770B-40F9-A001-DF20E0450AB1}">
      <text>
        <r>
          <rPr>
            <b/>
            <sz val="10"/>
            <color indexed="81"/>
            <rFont val="Segoe UI"/>
            <family val="2"/>
          </rPr>
          <t>gem. AGES Ausnahmeliste 2025 konv. ungebeizt verwendbar</t>
        </r>
        <r>
          <rPr>
            <sz val="9"/>
            <color indexed="81"/>
            <rFont val="Segoe UI"/>
            <family val="2"/>
          </rPr>
          <t xml:space="preserve">
</t>
        </r>
      </text>
    </comment>
    <comment ref="E48" authorId="0" shapeId="0" xr:uid="{C07492B8-D141-4EFA-98F0-744BA3B75E06}">
      <text>
        <r>
          <rPr>
            <b/>
            <sz val="9"/>
            <color indexed="81"/>
            <rFont val="Segoe UI"/>
            <family val="2"/>
          </rPr>
          <t>Empfohlene Mengen in Mischungen je ha:
2 bis 4 kg</t>
        </r>
        <r>
          <rPr>
            <sz val="9"/>
            <color indexed="81"/>
            <rFont val="Segoe UI"/>
            <family val="2"/>
          </rPr>
          <t xml:space="preserve">
</t>
        </r>
      </text>
    </comment>
    <comment ref="A50" authorId="0" shapeId="0" xr:uid="{095A1A2B-44C1-4094-BA58-5B35A9D4CE5F}">
      <text>
        <r>
          <rPr>
            <b/>
            <sz val="10"/>
            <color indexed="81"/>
            <rFont val="Segoe UI"/>
            <family val="2"/>
          </rPr>
          <t>gem. AGES Ausnahmeliste 2025 konv. ungebeizt verwendbar</t>
        </r>
        <r>
          <rPr>
            <sz val="9"/>
            <color indexed="81"/>
            <rFont val="Segoe UI"/>
            <family val="2"/>
          </rPr>
          <t xml:space="preserve">
</t>
        </r>
      </text>
    </comment>
    <comment ref="A51" authorId="0" shapeId="0" xr:uid="{3B8CAF33-EA16-4B75-AD74-1A76EC38E172}">
      <text>
        <r>
          <rPr>
            <b/>
            <sz val="10"/>
            <color indexed="81"/>
            <rFont val="Segoe UI"/>
            <family val="2"/>
          </rPr>
          <t>gem. AGES Ausnahmeliste 2025 konv. ungebeizt verwendbar</t>
        </r>
        <r>
          <rPr>
            <sz val="9"/>
            <color indexed="81"/>
            <rFont val="Segoe UI"/>
            <family val="2"/>
          </rPr>
          <t xml:space="preserve">
</t>
        </r>
      </text>
    </comment>
    <comment ref="A52" authorId="0" shapeId="0" xr:uid="{00000000-0006-0000-0400-000003000000}">
      <text>
        <r>
          <rPr>
            <b/>
            <sz val="9"/>
            <color indexed="81"/>
            <rFont val="Segoe UI"/>
            <family val="2"/>
          </rPr>
          <t>Eingabemöglichkeit für nicht gelistete Kulturen</t>
        </r>
      </text>
    </comment>
    <comment ref="I52" authorId="0" shapeId="0" xr:uid="{00000000-0006-0000-0400-000004000000}">
      <text>
        <r>
          <rPr>
            <b/>
            <sz val="9"/>
            <color indexed="81"/>
            <rFont val="Segoe UI"/>
            <family val="2"/>
          </rPr>
          <t>Pflanzenfamilie auswählen oder selber eingeben</t>
        </r>
      </text>
    </comment>
    <comment ref="M52" authorId="0" shapeId="0" xr:uid="{00000000-0006-0000-0400-000005000000}">
      <text>
        <r>
          <rPr>
            <b/>
            <sz val="9"/>
            <color indexed="81"/>
            <rFont val="Segoe UI"/>
            <family val="2"/>
          </rPr>
          <t>Nur auswählen wenn zutreffend. Es sind Grünschnittroggen, Pannonische Nur auswählen, wenn zutreffend. Es sind Grünschnittroggen, Pannonische Wicke, Zottelwicke, Winterackerbohne, Wintererbse, Winterrübsen (inkl. Perko) gem. Varainte 6 zulässig</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Kriegner-Schramml Simon</author>
  </authors>
  <commentList>
    <comment ref="A26" authorId="0" shapeId="0" xr:uid="{6A621A2A-9C60-4B03-BC08-FCBF78016E1B}">
      <text>
        <r>
          <rPr>
            <b/>
            <sz val="10"/>
            <color indexed="81"/>
            <rFont val="Segoe UI"/>
            <family val="2"/>
          </rPr>
          <t xml:space="preserve">gut abfrostend bzw. frostempfindlich, trockenheitsverträglich, geeignet für Mulchsaat, rasche Jugendentwicklung;
</t>
        </r>
        <r>
          <rPr>
            <b/>
            <u/>
            <sz val="10"/>
            <color indexed="81"/>
            <rFont val="Segoe UI"/>
            <family val="2"/>
          </rPr>
          <t>Fruchtfolge beachten:</t>
        </r>
        <r>
          <rPr>
            <b/>
            <sz val="10"/>
            <color indexed="81"/>
            <rFont val="Segoe UI"/>
            <family val="2"/>
          </rPr>
          <t xml:space="preserve"> als Korbblütler mit der Sonnenblume verwandt, Vermehrungspotential für Sclerotinia gegeben;
Empfohlene Mengen in Mischungen je ha: 0,5 bis 0,8 kg</t>
        </r>
      </text>
    </comment>
    <comment ref="A51" authorId="0" shapeId="0" xr:uid="{00000000-0006-0000-0500-000001000000}">
      <text>
        <r>
          <rPr>
            <b/>
            <sz val="9"/>
            <color indexed="81"/>
            <rFont val="Segoe UI"/>
            <family val="2"/>
          </rPr>
          <t>Eingabemöglichkeit für nicht gelistete Kulturen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Kriegner-Schramml Simon</author>
  </authors>
  <commentList>
    <comment ref="H4" authorId="0" shapeId="0" xr:uid="{00000000-0006-0000-0600-000001000000}">
      <text>
        <r>
          <rPr>
            <b/>
            <u/>
            <sz val="10"/>
            <color indexed="81"/>
            <rFont val="Segoe UI"/>
            <family val="2"/>
          </rPr>
          <t>HINWEIS:</t>
        </r>
        <r>
          <rPr>
            <b/>
            <sz val="10"/>
            <color indexed="81"/>
            <rFont val="Segoe UI"/>
            <family val="2"/>
          </rPr>
          <t xml:space="preserve"> es zählt Bestand am Feld, dieser Hinweis ist ausschließlich als Orientierungshilfe zu sehen.</t>
        </r>
        <r>
          <rPr>
            <sz val="9"/>
            <color indexed="81"/>
            <rFont val="Segoe UI"/>
            <family val="2"/>
          </rPr>
          <t xml:space="preserve">
</t>
        </r>
        <r>
          <rPr>
            <sz val="10"/>
            <color indexed="81"/>
            <rFont val="Segoe UI"/>
            <family val="2"/>
          </rPr>
          <t xml:space="preserve">bei Zwischenfrüchten mit einem Leguminosenanteil &gt;60% ist ein Vorfruchtwert zu berücksichtigen (ungenutzt: 20 kg N; genutzt 10 kg 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<sst xmlns="http://schemas.openxmlformats.org/spreadsheetml/2006/main" count="9676" uniqueCount="1090">
  <si>
    <t>MISCHUNGSBERECHNUNG</t>
  </si>
  <si>
    <t>Kosten/ha in €</t>
  </si>
  <si>
    <t>Richtpreis/kg</t>
  </si>
  <si>
    <t>Reinsaat-menge</t>
  </si>
  <si>
    <t>Kosten/ha bei Reinsaat</t>
  </si>
  <si>
    <t>Menge/ha</t>
  </si>
  <si>
    <t xml:space="preserve">Menge in kg </t>
  </si>
  <si>
    <t>Einzelkulturen</t>
  </si>
  <si>
    <t>Alexandrinerklee</t>
  </si>
  <si>
    <r>
      <t xml:space="preserve">Alexandrinerklee </t>
    </r>
    <r>
      <rPr>
        <b/>
        <sz val="12"/>
        <rFont val="Arial"/>
        <family val="2"/>
      </rPr>
      <t>BIO</t>
    </r>
  </si>
  <si>
    <t>Buchweizen</t>
  </si>
  <si>
    <t>Einjähriges Raygras (Westerwoldisches Raygras)</t>
  </si>
  <si>
    <r>
      <t xml:space="preserve">Englisches Raygras </t>
    </r>
    <r>
      <rPr>
        <b/>
        <sz val="12"/>
        <rFont val="Arial"/>
        <family val="2"/>
      </rPr>
      <t>BIO</t>
    </r>
  </si>
  <si>
    <t>Futtererbse</t>
  </si>
  <si>
    <t>Gelbklee (Hopfenklee)</t>
  </si>
  <si>
    <t>Grünschnittroggen</t>
  </si>
  <si>
    <t>Inkarnatklee</t>
  </si>
  <si>
    <r>
      <t xml:space="preserve">Inkarnatklee </t>
    </r>
    <r>
      <rPr>
        <b/>
        <sz val="12"/>
        <rFont val="Arial"/>
        <family val="2"/>
      </rPr>
      <t>BIO</t>
    </r>
  </si>
  <si>
    <r>
      <t xml:space="preserve">Kresse </t>
    </r>
    <r>
      <rPr>
        <b/>
        <sz val="12"/>
        <rFont val="Arial"/>
        <family val="2"/>
      </rPr>
      <t>BIO</t>
    </r>
  </si>
  <si>
    <t>Leindotter</t>
  </si>
  <si>
    <r>
      <t xml:space="preserve">Leindotter </t>
    </r>
    <r>
      <rPr>
        <b/>
        <sz val="12"/>
        <rFont val="Arial"/>
        <family val="2"/>
      </rPr>
      <t>BIO</t>
    </r>
  </si>
  <si>
    <t>Luzerne</t>
  </si>
  <si>
    <r>
      <t xml:space="preserve">Luzerne </t>
    </r>
    <r>
      <rPr>
        <b/>
        <sz val="12"/>
        <rFont val="Arial"/>
        <family val="2"/>
      </rPr>
      <t>BIO</t>
    </r>
  </si>
  <si>
    <t>Meliorationsrettich</t>
  </si>
  <si>
    <t>Ölrettich</t>
  </si>
  <si>
    <t>Persischer Klee</t>
  </si>
  <si>
    <t>Phazelie</t>
  </si>
  <si>
    <r>
      <t xml:space="preserve">Phazelie </t>
    </r>
    <r>
      <rPr>
        <b/>
        <sz val="12"/>
        <rFont val="Arial"/>
        <family val="2"/>
      </rPr>
      <t>BIO</t>
    </r>
  </si>
  <si>
    <t>Pigmentplatterbse</t>
  </si>
  <si>
    <r>
      <t xml:space="preserve">Pigmentplatterbse </t>
    </r>
    <r>
      <rPr>
        <b/>
        <sz val="12"/>
        <rFont val="Arial"/>
        <family val="2"/>
      </rPr>
      <t>BIO</t>
    </r>
  </si>
  <si>
    <t xml:space="preserve">Ringelblume </t>
  </si>
  <si>
    <t>Rotklee</t>
  </si>
  <si>
    <r>
      <t xml:space="preserve">Rotklee </t>
    </r>
    <r>
      <rPr>
        <b/>
        <sz val="12"/>
        <rFont val="Arial"/>
        <family val="2"/>
      </rPr>
      <t>BIO</t>
    </r>
  </si>
  <si>
    <t>Sarepta-Senf</t>
  </si>
  <si>
    <t>Schwedenklee</t>
  </si>
  <si>
    <t>Senf</t>
  </si>
  <si>
    <r>
      <t xml:space="preserve">Senf </t>
    </r>
    <r>
      <rPr>
        <b/>
        <sz val="12"/>
        <rFont val="Arial"/>
        <family val="2"/>
      </rPr>
      <t>BIO</t>
    </r>
  </si>
  <si>
    <t>Sommerfutterraps</t>
  </si>
  <si>
    <t>Sudangras</t>
  </si>
  <si>
    <t>Weißklee</t>
  </si>
  <si>
    <r>
      <t xml:space="preserve">Weißklee </t>
    </r>
    <r>
      <rPr>
        <b/>
        <sz val="12"/>
        <rFont val="Arial"/>
        <family val="2"/>
      </rPr>
      <t>BIO</t>
    </r>
  </si>
  <si>
    <t>Winterfutterraps</t>
  </si>
  <si>
    <t>Winterwicke Pannonisch</t>
  </si>
  <si>
    <r>
      <t xml:space="preserve">Winterwicke Pannonisch </t>
    </r>
    <r>
      <rPr>
        <b/>
        <sz val="12"/>
        <rFont val="Arial"/>
        <family val="2"/>
      </rPr>
      <t>BIO</t>
    </r>
  </si>
  <si>
    <t>Saatgutmischungen</t>
  </si>
  <si>
    <t xml:space="preserve">AckerGrün Begrünungsmischung FruchtfolgePluss </t>
  </si>
  <si>
    <t>AckerGrün Begrünungsmischung SpeedPluss</t>
  </si>
  <si>
    <t>BIENENTRACHTBRACHE</t>
  </si>
  <si>
    <t>25</t>
  </si>
  <si>
    <t>50</t>
  </si>
  <si>
    <t>DICKICHT</t>
  </si>
  <si>
    <t xml:space="preserve">Einsömmerige Kleegrasmischung  EZ - DIE SAAT - ÖAG - Qualitätssaatgutmischung </t>
  </si>
  <si>
    <t>30</t>
  </si>
  <si>
    <t xml:space="preserve">Landsberger Gemenge </t>
  </si>
  <si>
    <t>LECKERBISSEN</t>
  </si>
  <si>
    <t>LEGUMIX</t>
  </si>
  <si>
    <t>ÖPULFIT</t>
  </si>
  <si>
    <t>WiesenGrün Landsberger Gemenge ST 1</t>
  </si>
  <si>
    <t>Wassergüte früh</t>
  </si>
  <si>
    <t>Wassergüte rau</t>
  </si>
  <si>
    <t>kg/ha</t>
  </si>
  <si>
    <t>€/ha</t>
  </si>
  <si>
    <t>Anmerkungen</t>
  </si>
  <si>
    <t xml:space="preserve">Abessinischer Senf </t>
  </si>
  <si>
    <t>25 - 30</t>
  </si>
  <si>
    <t>Bastardraygras</t>
  </si>
  <si>
    <t>60 - 80</t>
  </si>
  <si>
    <t>Esparsette</t>
  </si>
  <si>
    <t>Futterkohl</t>
  </si>
  <si>
    <t>Herbstrübe</t>
  </si>
  <si>
    <t>Hirse</t>
  </si>
  <si>
    <t>Hornklee</t>
  </si>
  <si>
    <t>Kulturmalve</t>
  </si>
  <si>
    <t>20 - 25</t>
  </si>
  <si>
    <t>Saatplatterbse</t>
  </si>
  <si>
    <t>100 - 130</t>
  </si>
  <si>
    <t xml:space="preserve">Serradella </t>
  </si>
  <si>
    <t>20 - 30</t>
  </si>
  <si>
    <t>DSV - Mischungen</t>
  </si>
  <si>
    <t>30 - 40</t>
  </si>
  <si>
    <t>AckerGrün Weingarten II - Dauerbegrünung ohne Klee</t>
  </si>
  <si>
    <t xml:space="preserve">AckerGrün WeingartenPluss  </t>
  </si>
  <si>
    <t xml:space="preserve">AckerGrün Biodiversitätmischung BIOLebensraumPluss </t>
  </si>
  <si>
    <t xml:space="preserve">AckerGrün Biodiversitätmischung BlütenPluss </t>
  </si>
  <si>
    <t xml:space="preserve">AckerGrün Biodiversitätsmischung BienentrachtPluss </t>
  </si>
  <si>
    <t xml:space="preserve">AckerGrün BioUntersaatPluss </t>
  </si>
  <si>
    <t xml:space="preserve">AckerGrün UntersaatPluss </t>
  </si>
  <si>
    <t xml:space="preserve">WOLFF - Mischung </t>
  </si>
  <si>
    <t xml:space="preserve">WOLFF - Mischung ohne Luzerne </t>
  </si>
  <si>
    <t>Saatbau - Mischungen</t>
  </si>
  <si>
    <t>70 - 80</t>
  </si>
  <si>
    <t>Phacelia, Buchweizen, Ölrettich, Senf, auch auf rauhere Saatbeete</t>
  </si>
  <si>
    <r>
      <t xml:space="preserve">Einjähriges Raygras </t>
    </r>
    <r>
      <rPr>
        <b/>
        <sz val="12"/>
        <rFont val="Arial"/>
        <family val="2"/>
      </rPr>
      <t>BIO</t>
    </r>
  </si>
  <si>
    <t>Ölrettich nematodenhemmend</t>
  </si>
  <si>
    <t>Saflor</t>
  </si>
  <si>
    <r>
      <t xml:space="preserve">Sudangras </t>
    </r>
    <r>
      <rPr>
        <b/>
        <sz val="12"/>
        <rFont val="Arial"/>
        <family val="2"/>
      </rPr>
      <t>BIO</t>
    </r>
  </si>
  <si>
    <t>Zottelwicke</t>
  </si>
  <si>
    <t>HESA - Mischungen</t>
  </si>
  <si>
    <t>12</t>
  </si>
  <si>
    <t>Bestes Futtergemenge, durch Spätsaatverträglichkeit und sehr guter Vorfruchtwirkung auch eine ideale Gründüngung, abfrostend.</t>
  </si>
  <si>
    <t>20-25</t>
  </si>
  <si>
    <t>Bitterlupine</t>
  </si>
  <si>
    <t>14</t>
  </si>
  <si>
    <r>
      <rPr>
        <sz val="11"/>
        <rFont val="Arial"/>
        <family val="2"/>
      </rPr>
      <t>angeführte Werte sind Durchschnitts - bzw. Beispielwerte</t>
    </r>
    <r>
      <rPr>
        <b/>
        <sz val="11"/>
        <rFont val="Arial"/>
        <family val="2"/>
      </rPr>
      <t xml:space="preserve">
Hier können auch eigene Werte eingetragen werden</t>
    </r>
  </si>
  <si>
    <t>Menge
Reinsaat</t>
  </si>
  <si>
    <t>eigene Kultur 1</t>
  </si>
  <si>
    <t>eigene Kultur 2</t>
  </si>
  <si>
    <t>eigene Kultur 3</t>
  </si>
  <si>
    <t>eigene Kultur 4</t>
  </si>
  <si>
    <t>eigene Kultur 5</t>
  </si>
  <si>
    <t>eigene Kultur 6</t>
  </si>
  <si>
    <t>eigene Kultur 7</t>
  </si>
  <si>
    <r>
      <rPr>
        <sz val="11"/>
        <rFont val="Arial"/>
        <family val="2"/>
      </rPr>
      <t>angeführte Werte sind Durchschnitts - bzw. Beispielwerte</t>
    </r>
    <r>
      <rPr>
        <b/>
        <sz val="11"/>
        <rFont val="Arial"/>
        <family val="2"/>
      </rPr>
      <t xml:space="preserve">
HIER können auch eigene Werte eingegeben werden</t>
    </r>
  </si>
  <si>
    <t xml:space="preserve">Eigenschaften überwinternde Kulturen </t>
  </si>
  <si>
    <t>Pflanzenarten</t>
  </si>
  <si>
    <r>
      <t xml:space="preserve">Anbauzeit
</t>
    </r>
    <r>
      <rPr>
        <sz val="11"/>
        <rFont val="Arial"/>
        <family val="2"/>
      </rPr>
      <t>Juli  Aug.Sept.</t>
    </r>
    <r>
      <rPr>
        <b/>
        <sz val="11"/>
        <rFont val="Arial"/>
        <family val="2"/>
      </rPr>
      <t xml:space="preserve">
</t>
    </r>
    <r>
      <rPr>
        <sz val="12"/>
        <rFont val="Arial"/>
        <family val="2"/>
      </rPr>
      <t>### ### ###</t>
    </r>
  </si>
  <si>
    <t>Jugend-
ent-
wicklung</t>
  </si>
  <si>
    <t>Bodenbe-deckung</t>
  </si>
  <si>
    <t>Reinsaat-
menge 
kg/ha</t>
  </si>
  <si>
    <t>Reinsaat bzw. Gemengeanbau</t>
  </si>
  <si>
    <t>Kreuzblütler</t>
  </si>
  <si>
    <t xml:space="preserve">Winterrübse </t>
  </si>
  <si>
    <t>### ### ##</t>
  </si>
  <si>
    <t>sehr rasch</t>
  </si>
  <si>
    <t>sehr gut</t>
  </si>
  <si>
    <t>10-15</t>
  </si>
  <si>
    <t>beides</t>
  </si>
  <si>
    <t>Fruchtfolge beachten, raschwüchsig, mehrschnittig</t>
  </si>
  <si>
    <t>### ### ###</t>
  </si>
  <si>
    <t>rasch</t>
  </si>
  <si>
    <t>Reinsaat sinnvoll</t>
  </si>
  <si>
    <t>für Futternutzung Juli/August 10 kg /ha Aussaat, geht im Ansaatjahr nicht in Blüte</t>
  </si>
  <si>
    <t>Leguminosen</t>
  </si>
  <si>
    <t>binden Luftstickstoff, Fruchtfolgeregeln beachten</t>
  </si>
  <si>
    <t>Winterwicke</t>
  </si>
  <si>
    <t>gut</t>
  </si>
  <si>
    <t>80-100</t>
  </si>
  <si>
    <t>nur in Gemengen sinnvoll</t>
  </si>
  <si>
    <t xml:space="preserve">im Landsberger Gemenge, meist überwinternd, gute Durchwurzelung des Bodens </t>
  </si>
  <si>
    <t>### ###</t>
  </si>
  <si>
    <t>langsam</t>
  </si>
  <si>
    <t>mittel</t>
  </si>
  <si>
    <t>15</t>
  </si>
  <si>
    <t>geringe Ansprüche, lichtbedürftig  ausläufertreibend - Lückenfüller</t>
  </si>
  <si>
    <t>### ##</t>
  </si>
  <si>
    <t>wertvolle Futterleguminose für Feuchtgebiete  und Übergangslagen</t>
  </si>
  <si>
    <t>wertvolle Futterleguminose für Trockengebiete, pH -Wert mind. um 6,5 !</t>
  </si>
  <si>
    <t>25-30</t>
  </si>
  <si>
    <t>Gemenge sinnvoller</t>
  </si>
  <si>
    <t>überjährig, Bestandteil auch im Landsberger Gemenge, spätsaatverträglich</t>
  </si>
  <si>
    <t>gering</t>
  </si>
  <si>
    <t>15-18</t>
  </si>
  <si>
    <t>nur im Gemenge sinnvoll</t>
  </si>
  <si>
    <t xml:space="preserve"> für Trockenlagen und schlechte Böden geeignet, niedriger Wuchs, sehr ausdauernd </t>
  </si>
  <si>
    <t>Gelbklee</t>
  </si>
  <si>
    <t>für magere Böden ,anspruchslos, trockenresistent, eher niederliegend</t>
  </si>
  <si>
    <t>13-15</t>
  </si>
  <si>
    <t xml:space="preserve">für feuchtere Böden und rauere Lagen als Ersatz für Rotklee </t>
  </si>
  <si>
    <t>Steinklee, gelb/weiß</t>
  </si>
  <si>
    <t>### #</t>
  </si>
  <si>
    <t xml:space="preserve">2-jährig, hochwachsend, kann verdichtete Böden durchwurzeln, cumarinhältig  </t>
  </si>
  <si>
    <t>mäßig</t>
  </si>
  <si>
    <t>Gräser</t>
  </si>
  <si>
    <t xml:space="preserve">Rotschwingel </t>
  </si>
  <si>
    <t xml:space="preserve">### ### </t>
  </si>
  <si>
    <t>bildet Ausläufer - wichtiger Narbenbildner und Lückenfüller</t>
  </si>
  <si>
    <t>Engl. (deut.) Raygras</t>
  </si>
  <si>
    <t>konkurrenzstark in der Anfangsentwicklung, nicht geeignet für raue Lagen</t>
  </si>
  <si>
    <t>Wiesenschwingel</t>
  </si>
  <si>
    <t>30-40</t>
  </si>
  <si>
    <t>für feuchte nährstoffreiche Böden, hochwachsend</t>
  </si>
  <si>
    <t>Schafschwingel</t>
  </si>
  <si>
    <t>für karge Böden, als Futtergras wenig Bedeutung</t>
  </si>
  <si>
    <t>Kammgras</t>
  </si>
  <si>
    <t>22</t>
  </si>
  <si>
    <t xml:space="preserve">ausdauerndes Gras für karge Böden </t>
  </si>
  <si>
    <t>Rotes Straußgras</t>
  </si>
  <si>
    <t>für karge, aber auch saure Böden, speziell in höheren nicht zu trockenen Lagen</t>
  </si>
  <si>
    <t>Wiesenripse</t>
  </si>
  <si>
    <t>narbenbildend füllt Lücken, gute Trockenheitsresistenz</t>
  </si>
  <si>
    <t>Timothe</t>
  </si>
  <si>
    <t>15-20</t>
  </si>
  <si>
    <t>ausdauendes Gras mit guter Winterhärte unempfindlich gegen Nässe</t>
  </si>
  <si>
    <t>Glatthafer</t>
  </si>
  <si>
    <t>40</t>
  </si>
  <si>
    <t>horstbildendes hochwüchsiges Gras, verträg Trockenheit gut</t>
  </si>
  <si>
    <t>Knaulgras</t>
  </si>
  <si>
    <t>gut geeignet für trockene Böden, bildet Horste, später konkurrenzstark</t>
  </si>
  <si>
    <t>Italienisches Raygras</t>
  </si>
  <si>
    <t>30-50</t>
  </si>
  <si>
    <t>überwintert in milderen Lagen , guter  N-Verwerter</t>
  </si>
  <si>
    <t>20-30</t>
  </si>
  <si>
    <t>zwei- bis mehrjährig in milden und mittleren Lagen, verlangt gute Nährstoffversorgung</t>
  </si>
  <si>
    <t>spätsaatverträgliche Saatgutmischung
mit guter Vorfruchtwirkung, mit 30-40 kg/ha als Rotationsbrache möglich</t>
  </si>
  <si>
    <t>Landsberger Gemenge</t>
  </si>
  <si>
    <t>### ### #</t>
  </si>
  <si>
    <t>50-80</t>
  </si>
  <si>
    <t xml:space="preserve">Gründecke CLASSIC HR </t>
  </si>
  <si>
    <t>5 % Phacelia, 15 % Senf, 61 % Buchweizen,10% Alexandrinerklee,  5 % Kresse, 4% Schwarzs.</t>
  </si>
  <si>
    <t>AckerGrün Hydrosan</t>
  </si>
  <si>
    <t xml:space="preserve">            ### ##</t>
  </si>
  <si>
    <t>Boden- und Wasserschutzmischung, speziell f. Begrünung nach Mais</t>
  </si>
  <si>
    <t>AckerGrün Biodiversitäts+</t>
  </si>
  <si>
    <t xml:space="preserve">Gräserfreie Brachemischung </t>
  </si>
  <si>
    <t>Mungo, Phacelia, Alexandrinerklee und Krumenklee</t>
  </si>
  <si>
    <t xml:space="preserve">   # ###</t>
  </si>
  <si>
    <t>Sonstige</t>
  </si>
  <si>
    <t xml:space="preserve">Bestockt stärker als Roggen. Auch für ärmere Böden zur Wildäsung bzw. Aussaat im Juni - Herbst Futterschnitt und im nächsten Jahr Drusch möglich </t>
  </si>
  <si>
    <t>Waldstaudenroggen</t>
  </si>
  <si>
    <t xml:space="preserve">           ### ##</t>
  </si>
  <si>
    <t>120</t>
  </si>
  <si>
    <t>130</t>
  </si>
  <si>
    <t>Gute Bestockung. besonders gute Frühjahrsschnitte (vor dem Maisanbau) möglich</t>
  </si>
  <si>
    <t xml:space="preserve">Jugendentwicklung  und Bodenbedeckung sind stark abhängig von den verwendeten Sorten. Die Bodenbedeckung ist weiters abhängig vom Vegetationsstadium der Pflanze. </t>
  </si>
  <si>
    <t>Ein Abfrosten der Bestände ist jedoch auch bei überwinternden Kulturarten je nach Witterung, Schneelage… nicht auszuschließen</t>
  </si>
  <si>
    <t xml:space="preserve">Eigenschaften abfrostende Kulturen </t>
  </si>
  <si>
    <t>Versch. Pflanzenfamilien</t>
  </si>
  <si>
    <t>Sonnenblume</t>
  </si>
  <si>
    <t>Sklerotinia-Vermehrer!!  Braucht viel Bodenwasser - ausgefallene Samen in Folgefrucht</t>
  </si>
  <si>
    <t>Schwarzsamen/ Mungo</t>
  </si>
  <si>
    <t xml:space="preserve"> sehr gut</t>
  </si>
  <si>
    <t>sehr frostempfindlich, trockenheitsverträglich, ideal für Mulchsaat, rasche Jugendentwicklung, Sclerotinia</t>
  </si>
  <si>
    <t>Ringelblume</t>
  </si>
  <si>
    <t>meist abfrostend, fruchtfolgeneutral, sehr gute Durchwurzelung und guter Stickstoffspeicher, Samenbildung</t>
  </si>
  <si>
    <t>Phazelia</t>
  </si>
  <si>
    <t>10-16</t>
  </si>
  <si>
    <t>für alle Fruchtfolgen, nematodenneutral, verträgt Trockenheit gut, beste Eignung für Mulchsaat</t>
  </si>
  <si>
    <t>nein</t>
  </si>
  <si>
    <t xml:space="preserve"> gut</t>
  </si>
  <si>
    <t xml:space="preserve"> 60-80</t>
  </si>
  <si>
    <t>Gemenge</t>
  </si>
  <si>
    <t>bei frühem Anbau Samenreife (Achtung bei Zuckerrübe), trockenverträglich, frostempfindlich</t>
  </si>
  <si>
    <t>Anbau ab August von Vorteil damit Pflanzen mehr Blattmasse bilden</t>
  </si>
  <si>
    <t>Senf nematodenres.</t>
  </si>
  <si>
    <t xml:space="preserve">rechtzeitiger Anbau für biologische Nematodenbekämpfung notwendig - Eignung für Zuckerrübenfruchtfolge </t>
  </si>
  <si>
    <t xml:space="preserve">Sareptasenf </t>
  </si>
  <si>
    <t xml:space="preserve">  ## ##</t>
  </si>
  <si>
    <t>bessere Durchwurzelung als Senf, Bodenstrukturverbesserung - Futterwert ähnlich Sommerfutteraps, Energieerz.</t>
  </si>
  <si>
    <t xml:space="preserve"> 6 - 8</t>
  </si>
  <si>
    <t>rasch Entwicklung, wenig oberirdische Masse, kräftige Pfahlwurzel mit guter Tiefenlockerung, frostet ab</t>
  </si>
  <si>
    <t>Ölrettich multiresistente Sorte</t>
  </si>
  <si>
    <t>frühe Saat und dichte Bestände verringern die Rettichbildung - gilt auch für nematodenresistente, Pflanzeninhaltsstoffe (Glucosinolate) von Defender werden zu biologisch aktiv wirksamen Stoffen umgesetzt</t>
  </si>
  <si>
    <t>Ölrettich nematodenh.</t>
  </si>
  <si>
    <t>für Schnittnutzung Aussaat ab Mitte August: 10 kg/ha, keine nematodenresistenten Sorten verfügbar</t>
  </si>
  <si>
    <t xml:space="preserve">Sommerrübse </t>
  </si>
  <si>
    <t xml:space="preserve">beides </t>
  </si>
  <si>
    <t>friert meist ab und hinterläßt eine lockere Mulchschicht für eine störungsfreie Direktsaat von Mais</t>
  </si>
  <si>
    <t>Markstamm,-/Futterkohl</t>
  </si>
  <si>
    <t xml:space="preserve">### # </t>
  </si>
  <si>
    <t>3-5</t>
  </si>
  <si>
    <t xml:space="preserve">gutes Futter, hohe  Winterfestigkeit, verträgt Fröste von -10-12°C, Fütterung bis Ende Dez. frisch vom Feld </t>
  </si>
  <si>
    <t>8-12</t>
  </si>
  <si>
    <t>eher Gemenge</t>
  </si>
  <si>
    <t>langsame Jugendentwicklung, feines Wurzelwerk, rel. wenig Masse,  nicht selbstverträglich</t>
  </si>
  <si>
    <t>###</t>
  </si>
  <si>
    <t>15-40</t>
  </si>
  <si>
    <t xml:space="preserve">hohes Nachwuchsvermögen - Nutzung als Grünfutter/Silage ab ca. 60 cm Wuchshöhe für Biogas, Wildäcker </t>
  </si>
  <si>
    <t>Sandhafer</t>
  </si>
  <si>
    <t>80-120</t>
  </si>
  <si>
    <t>zur Bekämpfung von Pratylenchus penetrans (Wurzelläsionsälchen) -  keine Vermehrung von Trichodoriden (Überträger der Eisenfleckigkeit), für alle Böden und jegliche Nutzung geeignet</t>
  </si>
  <si>
    <t>Westerw. Raygras</t>
  </si>
  <si>
    <t xml:space="preserve">sehr wüchsig, nematodenneutral, bestens geeignet für Silierung, Nutzung vor Beginn des Ährenschiebens </t>
  </si>
  <si>
    <t>Alexandrinerklee und 
Krumenklee</t>
  </si>
  <si>
    <t>langsame Jugendentwicklung, hohes Nachwuchsvermögen, hoher Eiweißgehalt  im Gemenge mit Gräsern bauen</t>
  </si>
  <si>
    <t>Saatwicke</t>
  </si>
  <si>
    <t xml:space="preserve"> 100-130</t>
  </si>
  <si>
    <t>Gemenge mit Stützfrucht</t>
  </si>
  <si>
    <t>gute Garebildung, eiweißreiches Grünfutter, mit Stützfrucht  anbauen</t>
  </si>
  <si>
    <t>130-150</t>
  </si>
  <si>
    <t>Erntereife zur Grünverfütterung nach Erreichen der Vollblüte, sobald die untersten Hülsen ausgebildet sind</t>
  </si>
  <si>
    <t>Klee der sandigen Böden - mit Stütz,-Deckfrucht anbauen, keimt sehr langsam,  stark verzweigtes Wurzelwerk</t>
  </si>
  <si>
    <t>Ackerbohne</t>
  </si>
  <si>
    <t xml:space="preserve"> 150-200</t>
  </si>
  <si>
    <t xml:space="preserve">bevorzugt feuchte Klimagebiete, mit sich selbst und Rotklee nicht verträglich </t>
  </si>
  <si>
    <t xml:space="preserve"> 110-180</t>
  </si>
  <si>
    <t>schnelle Jugendentwicklung,  bessere Durchwurzelung als Futtererbse, für trockene Standorte geeignet</t>
  </si>
  <si>
    <t>Süßlupine</t>
  </si>
  <si>
    <t xml:space="preserve">### </t>
  </si>
  <si>
    <t xml:space="preserve"> 150-220</t>
  </si>
  <si>
    <t>weiße, gelbe oder blaue bitterstoffarme Lupinen Eignung je nach Bodentyp - eiweissreiches Futter</t>
  </si>
  <si>
    <t>120-180</t>
  </si>
  <si>
    <t xml:space="preserve">zur Gründüngung auf leichteren Böden auch in kühleren Lagen </t>
  </si>
  <si>
    <t>Kulturarten sind nur bei ausreichender vegetativen Entwicklung im Herbst und kalten Wintern (tiefgehende Fröste) abfrostend.</t>
  </si>
  <si>
    <t>Nematodenresistente Sorten von Senf und Ölrettich haben nur Wirkung gegen Zuckerrübenzystennematoden - außer Ölrettich Defender als multiresistente Sorte.</t>
  </si>
  <si>
    <t>Menge in kg/ha
geplant</t>
  </si>
  <si>
    <t>Mischungs-anteil in % (=relative Saatstärke)</t>
  </si>
  <si>
    <t>Fläche in ha</t>
  </si>
  <si>
    <t>Mischungs-anteil in %
(=relative Saatstärke)</t>
  </si>
  <si>
    <t>Saatstärke in % der Reinsaat</t>
  </si>
  <si>
    <t>Kulturbezeichnung</t>
  </si>
  <si>
    <t>Menge in kg/ha 
geplant</t>
  </si>
  <si>
    <t>Kosten je Kultur</t>
  </si>
  <si>
    <t>Kosten/ha</t>
  </si>
  <si>
    <t xml:space="preserve">Saatgutmenge je Kultur bzw. Mischung in kg </t>
  </si>
  <si>
    <t>Der Bereich Anbauzeitpunkte enthält Informationen zu den empfohlenen Anbauzeitpunkten und pflanzenbaulichen Eigenschaften</t>
  </si>
  <si>
    <r>
      <t xml:space="preserve">Dieser Bereich ist zusätzlich in Eigenschaften </t>
    </r>
    <r>
      <rPr>
        <b/>
        <u/>
        <sz val="11"/>
        <color theme="1"/>
        <rFont val="Arial"/>
        <family val="2"/>
      </rPr>
      <t>winterharter</t>
    </r>
    <r>
      <rPr>
        <sz val="11"/>
        <color theme="1"/>
        <rFont val="Arial"/>
        <family val="2"/>
      </rPr>
      <t xml:space="preserve"> und </t>
    </r>
    <r>
      <rPr>
        <b/>
        <u/>
        <sz val="11"/>
        <color theme="1"/>
        <rFont val="Arial"/>
        <family val="2"/>
      </rPr>
      <t>abfrostender Kulturen</t>
    </r>
    <r>
      <rPr>
        <sz val="11"/>
        <color theme="1"/>
        <rFont val="Arial"/>
        <family val="2"/>
      </rPr>
      <t xml:space="preserve"> untergliedert</t>
    </r>
  </si>
  <si>
    <r>
      <t xml:space="preserve">Die Preise je kg und die Reinsaatstärke können angepasst werden. </t>
    </r>
    <r>
      <rPr>
        <b/>
        <sz val="11"/>
        <color theme="1"/>
        <rFont val="Arial"/>
        <family val="2"/>
      </rPr>
      <t>Oben RECHTS</t>
    </r>
    <r>
      <rPr>
        <sz val="11"/>
        <color theme="1"/>
        <rFont val="Arial"/>
        <family val="2"/>
      </rPr>
      <t xml:space="preserve"> werden </t>
    </r>
    <r>
      <rPr>
        <b/>
        <sz val="11"/>
        <color theme="1"/>
        <rFont val="Arial"/>
        <family val="2"/>
      </rPr>
      <t>relative Saatstärke</t>
    </r>
    <r>
      <rPr>
        <sz val="11"/>
        <color theme="1"/>
        <rFont val="Arial"/>
        <family val="2"/>
      </rPr>
      <t xml:space="preserve"> aus allen gewählten Kulturen und Mischungen, der </t>
    </r>
    <r>
      <rPr>
        <b/>
        <sz val="11"/>
        <color theme="1"/>
        <rFont val="Arial"/>
        <family val="2"/>
      </rPr>
      <t>Preis je ha</t>
    </r>
    <r>
      <rPr>
        <sz val="11"/>
        <color theme="1"/>
        <rFont val="Arial"/>
        <family val="2"/>
      </rPr>
      <t xml:space="preserve"> und die </t>
    </r>
    <r>
      <rPr>
        <b/>
        <sz val="11"/>
        <color theme="1"/>
        <rFont val="Arial"/>
        <family val="2"/>
      </rPr>
      <t>Saatgutmenge je ha</t>
    </r>
    <r>
      <rPr>
        <sz val="11"/>
        <color theme="1"/>
        <rFont val="Arial"/>
        <family val="2"/>
      </rPr>
      <t xml:space="preserve"> angezeigt.</t>
    </r>
  </si>
  <si>
    <r>
      <t xml:space="preserve">ZUR
ZUSAMMENFASSUNG
</t>
    </r>
    <r>
      <rPr>
        <u/>
        <sz val="22"/>
        <rFont val="Arial"/>
        <family val="2"/>
      </rPr>
      <t>►</t>
    </r>
  </si>
  <si>
    <r>
      <t xml:space="preserve">Um die Berechnung vollständig ausführen zu können müssen die </t>
    </r>
    <r>
      <rPr>
        <b/>
        <u/>
        <sz val="11"/>
        <color theme="1"/>
        <rFont val="Arial"/>
        <family val="2"/>
      </rPr>
      <t>betreffende Fläche</t>
    </r>
    <r>
      <rPr>
        <sz val="11"/>
        <color theme="1"/>
        <rFont val="Arial"/>
        <family val="2"/>
      </rPr>
      <t xml:space="preserve"> und die </t>
    </r>
    <r>
      <rPr>
        <b/>
        <u/>
        <sz val="11"/>
        <color theme="1"/>
        <rFont val="Arial"/>
        <family val="2"/>
      </rPr>
      <t>geplante Saatgutmenge je ha</t>
    </r>
    <r>
      <rPr>
        <sz val="11"/>
        <color theme="1"/>
        <rFont val="Arial"/>
        <family val="2"/>
      </rPr>
      <t xml:space="preserve"> angeführt werden.</t>
    </r>
  </si>
  <si>
    <r>
      <rPr>
        <u/>
        <sz val="20"/>
        <rFont val="Arial"/>
        <family val="2"/>
      </rPr>
      <t>►</t>
    </r>
    <r>
      <rPr>
        <u/>
        <sz val="12"/>
        <rFont val="Arial"/>
        <family val="2"/>
      </rPr>
      <t xml:space="preserve"> HIER gelangen Sie zur Zusammenfassung</t>
    </r>
  </si>
  <si>
    <t>Der Bereich Zusammenfassung BIO enthält eine Listung der im Begrünungsrechner ausgewählten Kulturen, den diesbezüglichen Saatgutmengen und Anteilen an der gesamten Mischung. Diese kann anschließend ausgedruckt werden.</t>
  </si>
  <si>
    <r>
      <t xml:space="preserve">Durch einen </t>
    </r>
    <r>
      <rPr>
        <b/>
        <u/>
        <sz val="12"/>
        <color theme="1"/>
        <rFont val="Arial"/>
        <family val="2"/>
      </rPr>
      <t>KLICK</t>
    </r>
    <r>
      <rPr>
        <sz val="12"/>
        <color theme="1"/>
        <rFont val="Arial"/>
        <family val="2"/>
      </rPr>
      <t xml:space="preserve"> auf die folgenden Schaltflächen bzw. durch Auswahl der entsprechenden Tabellenblätter gelangen Sie zu den einzelnen Bereichen.</t>
    </r>
  </si>
  <si>
    <r>
      <t xml:space="preserve">Durch einen KLICK auf diesen Link </t>
    </r>
    <r>
      <rPr>
        <u/>
        <sz val="20"/>
        <rFont val="Arial"/>
        <family val="2"/>
      </rPr>
      <t>►</t>
    </r>
    <r>
      <rPr>
        <u/>
        <sz val="12"/>
        <rFont val="Arial"/>
        <family val="2"/>
      </rPr>
      <t xml:space="preserve"> gelangen Sie zu den </t>
    </r>
    <r>
      <rPr>
        <b/>
        <u/>
        <sz val="12"/>
        <rFont val="Arial"/>
        <family val="2"/>
      </rPr>
      <t>Anbauzeitpunkten</t>
    </r>
  </si>
  <si>
    <r>
      <rPr>
        <u/>
        <sz val="20"/>
        <rFont val="Arial"/>
        <family val="2"/>
      </rPr>
      <t>►</t>
    </r>
    <r>
      <rPr>
        <u/>
        <sz val="12"/>
        <rFont val="Arial"/>
        <family val="2"/>
      </rPr>
      <t xml:space="preserve"> Hier gelangen Sie zum Begrünungsrechner BIO</t>
    </r>
  </si>
  <si>
    <r>
      <rPr>
        <u/>
        <sz val="20"/>
        <rFont val="Arial"/>
        <family val="2"/>
      </rPr>
      <t>►</t>
    </r>
    <r>
      <rPr>
        <u/>
        <sz val="12"/>
        <rFont val="Arial"/>
        <family val="2"/>
      </rPr>
      <t xml:space="preserve"> HIER gelangen Sie zur Zusammenfassung BIO</t>
    </r>
  </si>
  <si>
    <r>
      <rPr>
        <u/>
        <sz val="22"/>
        <rFont val="Arial"/>
        <family val="2"/>
      </rPr>
      <t xml:space="preserve">◄
</t>
    </r>
    <r>
      <rPr>
        <u/>
        <sz val="12"/>
        <rFont val="Arial"/>
        <family val="2"/>
      </rPr>
      <t xml:space="preserve">
ZURÜCK ZUR
STARTSEITE /
BEDIENUNGSANLEITUNG</t>
    </r>
  </si>
  <si>
    <t>INFORMATIONSBEREICH</t>
  </si>
  <si>
    <t>KONTAKT:</t>
  </si>
  <si>
    <t>https://www.bwsb.at/</t>
  </si>
  <si>
    <t>simon.kriegner-schramml@lk-ooe.at</t>
  </si>
  <si>
    <t>Fragen und Anregungen an:</t>
  </si>
  <si>
    <r>
      <rPr>
        <sz val="22"/>
        <rFont val="Arial"/>
        <family val="2"/>
      </rPr>
      <t>◄</t>
    </r>
    <r>
      <rPr>
        <sz val="12"/>
        <rFont val="Arial"/>
        <family val="2"/>
      </rPr>
      <t xml:space="preserve"> ZURÜCK ZUR STARTSEITE / BEDIENUNGSANLEITUNG</t>
    </r>
  </si>
  <si>
    <t>Pflanzenfamilie</t>
  </si>
  <si>
    <r>
      <t xml:space="preserve">Futtererbse </t>
    </r>
    <r>
      <rPr>
        <b/>
        <sz val="12"/>
        <rFont val="Arial"/>
        <family val="2"/>
      </rPr>
      <t>BIO</t>
    </r>
  </si>
  <si>
    <r>
      <t xml:space="preserve">Meliorationsrettich </t>
    </r>
    <r>
      <rPr>
        <b/>
        <sz val="12"/>
        <rFont val="Arial"/>
        <family val="2"/>
      </rPr>
      <t>BIO</t>
    </r>
  </si>
  <si>
    <r>
      <t xml:space="preserve">Ölrettich </t>
    </r>
    <r>
      <rPr>
        <b/>
        <sz val="12"/>
        <rFont val="Arial"/>
        <family val="2"/>
      </rPr>
      <t>BIO</t>
    </r>
  </si>
  <si>
    <t>Version:</t>
  </si>
  <si>
    <t>Leguminose</t>
  </si>
  <si>
    <t>Knöterichgewächse</t>
  </si>
  <si>
    <t>Korbblütler</t>
  </si>
  <si>
    <t>Wasserblattgewächse</t>
  </si>
  <si>
    <t>Malvengewächse</t>
  </si>
  <si>
    <t>Anzahl Mischungspartner</t>
  </si>
  <si>
    <t>Anzahl Familien</t>
  </si>
  <si>
    <t xml:space="preserve">ÖPUL 2015 Varianten </t>
  </si>
  <si>
    <t>Variante 2</t>
  </si>
  <si>
    <t>Variante</t>
  </si>
  <si>
    <t>Mischungspartner</t>
  </si>
  <si>
    <t>Variante 3</t>
  </si>
  <si>
    <t>Variante 4</t>
  </si>
  <si>
    <t>Varainte 5</t>
  </si>
  <si>
    <t>Variante 6</t>
  </si>
  <si>
    <t>Insektenblütig</t>
  </si>
  <si>
    <t>Variante 1</t>
  </si>
  <si>
    <t>Var 6 konform</t>
  </si>
  <si>
    <t>Mischung zu Variante Konform?</t>
  </si>
  <si>
    <t>In Begrünungsliste ausgewählt ?</t>
  </si>
  <si>
    <t>Var. 6 konform</t>
  </si>
  <si>
    <t>ja</t>
  </si>
  <si>
    <t>Summe Insektenblütige Mischungspartner</t>
  </si>
  <si>
    <t>Zählenn wenn insektenblütig</t>
  </si>
  <si>
    <t>Var 6 GSR, WE</t>
  </si>
  <si>
    <t>Knöterich Gewächs, Bienenweide; Kein Sklerotiniaüberträger, geringe Standortansprüche, im Gemenge anbauen, nematodenneutral, rasche Jugendentwicklung, keimt auch unter trockenen Bedingungen - frostempfindlich - kommt rasch zur Samenbildung</t>
  </si>
  <si>
    <t>Leguminose mehrjährig, tiefwurzelnd;  eiweißreiche Trockenfutterpflanze, Bodenverbesserer, hervorragende Bienenweide</t>
  </si>
  <si>
    <t xml:space="preserve"> frühe Saat und dichte Bestände verringern die Rettichbildung, gute Tiefendurchwurzelung</t>
  </si>
  <si>
    <t>Insektenblütige Kulturart, meist abfrostend, fruchtfolgeneutral, sehr gute Durchwurzelung und guter Stickstoffspeicher</t>
  </si>
  <si>
    <t xml:space="preserve">für feuchtere Böden und in rauen schattigen Lagen als Ersatz für Rotklee </t>
  </si>
  <si>
    <t>Leguminose, meist überwinternd - Anbau im Gemenge, Stickstoffsammler, gute Durchwurzelung des Bodens</t>
  </si>
  <si>
    <t>€/kg</t>
  </si>
  <si>
    <t>TL Rigol TR</t>
  </si>
  <si>
    <t>TL Beta Maxx TR</t>
  </si>
  <si>
    <t>Phacelia, Öllein, Rauhafer, Ramtillkraut, Felderbse, Sommerwicke, Serradella, Alexandrinerklee, Tiefenrettich, Abessinischer Kohl</t>
  </si>
  <si>
    <t>Abessinischer Kohl, Alexandrinerklee, Felderbse, Inkarnatklee, Öllein, Perserklee, Phacelia, Rotklee, Tiefenrettich, Schwedenklee, Ramtillkraut, Serradella, Sommerwicke, Sonnenblume, Sorghum, Weißklee, Winterwicke</t>
  </si>
  <si>
    <t>Phacelia, Öllein, Rauhafer, Ramtillkraut, Felderbse, Sommerwicke, Serradella, Alexandrinerklee, Blaue Lupine</t>
  </si>
  <si>
    <t>Öllein, Rauhafer, Perserklee, Ramtillkraut, Felderbse, Sommerwicke, Serradella, Alexandrinerklee, Blaue Lupine</t>
  </si>
  <si>
    <t>HR 135 Soja - Fit</t>
  </si>
  <si>
    <t>HR 136 Drahtwurm - Fit</t>
  </si>
  <si>
    <t>HR 155 Landsberger Gemenge</t>
  </si>
  <si>
    <t>HR 065 Wildacker mehrjährig</t>
  </si>
  <si>
    <t>Engl. Raygras, Timothe, Serradella, Malve, Weißklee, Perserklee, Luzerne, Inkarnatklee, Raps, Buchweizen, Herbstrüben, Markstammkohl, Ölrettich, Winterrübsen, Waldstaudenroggen, Pannonische Wicke, Kräutermischung</t>
  </si>
  <si>
    <t>Rau-Sandhafer, Meliorationsrettich, Ölrettich, Sareptasenf - Aussaat bis Mitte August - Absackung 20 kg</t>
  </si>
  <si>
    <t>AckerGrün Biodiversitätsmischung BlühmixPluss</t>
  </si>
  <si>
    <t>WILDBLUMENPLUSS 1KG</t>
  </si>
  <si>
    <t>WILDBLUMENPLUSS 5KG</t>
  </si>
  <si>
    <t>DIVERSITÄTSMISCHUNG ÖPUL 2023</t>
  </si>
  <si>
    <t>BODENFIT</t>
  </si>
  <si>
    <t>MULCHFIT</t>
  </si>
  <si>
    <t>NITROFIT</t>
  </si>
  <si>
    <t>WINTERFIT</t>
  </si>
  <si>
    <t>Pflanzenfamilie ausgewählt</t>
  </si>
  <si>
    <t>Doldenblütler</t>
  </si>
  <si>
    <t>Gänsefußgewächse</t>
  </si>
  <si>
    <t>Hanfgewächse</t>
  </si>
  <si>
    <t>Leingewächse</t>
  </si>
  <si>
    <t>Familien Drop Down</t>
  </si>
  <si>
    <t>▼</t>
  </si>
  <si>
    <t>Drop Down JA Nein insektenblütig</t>
  </si>
  <si>
    <t>Ja</t>
  </si>
  <si>
    <t>Nein</t>
  </si>
  <si>
    <t>insektenblütig JA / NEIN:</t>
  </si>
  <si>
    <t>Familie ausgewählt</t>
  </si>
  <si>
    <t xml:space="preserve"> Kärntner Saatbau - Mischungen</t>
  </si>
  <si>
    <t>Bereich integrierte Produktion</t>
  </si>
  <si>
    <t>Bereich biologische Produktion</t>
  </si>
  <si>
    <r>
      <t xml:space="preserve">ZURÜCK ZUM
BEGRÜNUNGSRECHNER
integrierte Produktion
</t>
    </r>
    <r>
      <rPr>
        <u/>
        <sz val="22"/>
        <rFont val="Arial"/>
        <family val="2"/>
      </rPr>
      <t>◄</t>
    </r>
  </si>
  <si>
    <r>
      <t>Der Begrünungsrechner ist grob in die Bereiche</t>
    </r>
    <r>
      <rPr>
        <b/>
        <u/>
        <sz val="12"/>
        <color theme="1"/>
        <rFont val="Arial"/>
        <family val="2"/>
      </rPr>
      <t xml:space="preserve"> integrierte Produktion</t>
    </r>
    <r>
      <rPr>
        <sz val="12"/>
        <color theme="1"/>
        <rFont val="Arial"/>
        <family val="2"/>
      </rPr>
      <t>,</t>
    </r>
    <r>
      <rPr>
        <b/>
        <sz val="12"/>
        <color theme="1"/>
        <rFont val="Arial"/>
        <family val="2"/>
      </rPr>
      <t xml:space="preserve"> </t>
    </r>
    <r>
      <rPr>
        <b/>
        <u/>
        <sz val="12"/>
        <color theme="1"/>
        <rFont val="Arial"/>
        <family val="2"/>
      </rPr>
      <t>BIO</t>
    </r>
    <r>
      <rPr>
        <sz val="12"/>
        <color theme="1"/>
        <rFont val="Arial"/>
        <family val="2"/>
      </rPr>
      <t xml:space="preserve"> und den </t>
    </r>
    <r>
      <rPr>
        <b/>
        <u/>
        <sz val="12"/>
        <color theme="1"/>
        <rFont val="Arial"/>
        <family val="2"/>
      </rPr>
      <t>Informationsbereich</t>
    </r>
    <r>
      <rPr>
        <sz val="12"/>
        <color theme="1"/>
        <rFont val="Arial"/>
        <family val="2"/>
      </rPr>
      <t xml:space="preserve"> untergliedert.</t>
    </r>
  </si>
  <si>
    <r>
      <t xml:space="preserve">Dieser Bereich ist in die Tabellenblätter </t>
    </r>
    <r>
      <rPr>
        <b/>
        <u/>
        <sz val="11"/>
        <color theme="1"/>
        <rFont val="Arial"/>
        <family val="2"/>
      </rPr>
      <t>"Begr.- Rechner int. Prod."</t>
    </r>
    <r>
      <rPr>
        <sz val="11"/>
        <color theme="1"/>
        <rFont val="Arial"/>
        <family val="2"/>
      </rPr>
      <t xml:space="preserve"> und "</t>
    </r>
    <r>
      <rPr>
        <b/>
        <u/>
        <sz val="11"/>
        <color theme="1"/>
        <rFont val="Arial"/>
        <family val="2"/>
      </rPr>
      <t>Zusammenfassung int. Prod."</t>
    </r>
    <r>
      <rPr>
        <sz val="11"/>
        <color theme="1"/>
        <rFont val="Arial"/>
        <family val="2"/>
      </rPr>
      <t xml:space="preserve"> unterteilt.</t>
    </r>
  </si>
  <si>
    <r>
      <t xml:space="preserve">Der Bereich </t>
    </r>
    <r>
      <rPr>
        <b/>
        <u/>
        <sz val="11"/>
        <color theme="1"/>
        <rFont val="Arial"/>
        <family val="2"/>
      </rPr>
      <t>BIO</t>
    </r>
    <r>
      <rPr>
        <sz val="11"/>
        <color theme="1"/>
        <rFont val="Arial"/>
        <family val="2"/>
      </rPr>
      <t xml:space="preserve"> enthält ausgewählte </t>
    </r>
    <r>
      <rPr>
        <b/>
        <sz val="11"/>
        <color theme="1"/>
        <rFont val="Arial"/>
        <family val="2"/>
      </rPr>
      <t>Einzelkulturen</t>
    </r>
    <r>
      <rPr>
        <b/>
        <sz val="11"/>
        <color theme="1"/>
        <rFont val="Arial"/>
        <family val="2"/>
      </rPr>
      <t>, welche für biologisch wirtschaftende Betriebe geeignet sind.</t>
    </r>
  </si>
  <si>
    <r>
      <t xml:space="preserve">Der Bereich integrierte Produktion enthält ausgewählte </t>
    </r>
    <r>
      <rPr>
        <b/>
        <sz val="11"/>
        <color theme="1"/>
        <rFont val="Arial"/>
        <family val="2"/>
      </rPr>
      <t>Einzelkulturen,</t>
    </r>
    <r>
      <rPr>
        <sz val="11"/>
        <color theme="1"/>
        <rFont val="Arial"/>
        <family val="2"/>
      </rPr>
      <t xml:space="preserve"> welche für den integriert wirtschaftenden landwirtschaftlichen Betrieb geeignet sind.</t>
    </r>
  </si>
  <si>
    <t>Der Bereich Zusammenfassung integrierte Produktion enthält eine Listung der im Begrünungsrechner ausgewählten Kulturen, den diesbezüglichen Saatgutmengen und Anteilen an der gesamten Mischung. Diese kann anschließend ausgedruckt werden.</t>
  </si>
  <si>
    <t>Begrünungen - Einzelkulturen</t>
  </si>
  <si>
    <t>Zur Biofumigation geeignet, blattreich; gute Deckung und Äsung für Wild, anspruchslos</t>
  </si>
  <si>
    <t>Leguminose, einjährig für Gründüngung; Reinsaatmenge: 160-180 kg/ha</t>
  </si>
  <si>
    <t xml:space="preserve">schnellwüchsig - Ca. 6-8 Wochen nach der Aussaat schnittreif,sehr hoher Futterertrag; hoher Energiegehalt und gut silierbar, nematodenneutral; bei Nutzung vor Beginn des Ährenschiebens (einjährig); ideal im Gemenge mit Alexandrinerklee und/oder Persischem Klee. </t>
  </si>
  <si>
    <t>Englisches Raygras (Deutsches Weidelgras)</t>
  </si>
  <si>
    <t>Ausdauerndste Form der Raygräser, mehrjährig, kein Sklerotiniaüberträger, 
intensive Durchwurzelung der oberen Bodenschicht;
Preis sortenabhängig - Unterscheidung früher und später Sorten, Ampferfreiheit des Saatgutes etc.</t>
  </si>
  <si>
    <t>120 - 160</t>
  </si>
  <si>
    <t>Italienisches Raygras (Welsches Weidelgras)</t>
  </si>
  <si>
    <r>
      <t xml:space="preserve">Italienisches Raygras </t>
    </r>
    <r>
      <rPr>
        <b/>
        <sz val="12"/>
        <rFont val="Arial"/>
        <family val="2"/>
      </rPr>
      <t>BIO</t>
    </r>
  </si>
  <si>
    <t>Kresse</t>
  </si>
  <si>
    <t>Kreuzblütler - Fruchtfolge beachten, im Gemenge anbauen, Wirtspflanze von Rübenzystennematoden</t>
  </si>
  <si>
    <t>264 - 352</t>
  </si>
  <si>
    <t>396 - 528</t>
  </si>
  <si>
    <t>Spitzwegerich</t>
  </si>
  <si>
    <t>Winterfuttererbse</t>
  </si>
  <si>
    <t>120 - 150</t>
  </si>
  <si>
    <r>
      <t xml:space="preserve">Winterfuttererbse </t>
    </r>
    <r>
      <rPr>
        <b/>
        <sz val="12"/>
        <rFont val="Arial"/>
        <family val="2"/>
      </rPr>
      <t>BIO</t>
    </r>
  </si>
  <si>
    <t>Winterrübse</t>
  </si>
  <si>
    <t>Zichorie</t>
  </si>
  <si>
    <t>Zwerghirse</t>
  </si>
  <si>
    <t>intensives Wurzelwachstum; klimafit - wetterfest; sicher abfrostend; einzigartige Mulchauflage im Frühjahr</t>
  </si>
  <si>
    <t>€/kg*</t>
  </si>
  <si>
    <t>€/ha*</t>
  </si>
  <si>
    <t>Zusammensetzung der Begrünungsmischungen / Anmerkungen</t>
  </si>
  <si>
    <t>HR 134 Ackeruntersaat</t>
  </si>
  <si>
    <t>Westerw. Raygras, Weißklee, Ital. Raygras</t>
  </si>
  <si>
    <t>Gartenkresse, Ramtillkraut, Sareptasenf, Winterrübsen, Phazelie, Ölrettich, Sandhafer, Buchweizen</t>
  </si>
  <si>
    <t>Perserklee, Ringelblume, Sandhafer, Alexandrinerklee, Ölrettich nem., Gelbsenf nem., Studentenblume</t>
  </si>
  <si>
    <t>Gartenkresse, Meliorationsrettich, Buchweizen, Ölrettich, Gelbsenf, Phazelie, Inkarnatklee</t>
  </si>
  <si>
    <t>Gartenkresse, Ramtillkraut, Gelbsenf, Alexandrinerklee, Buchweizen, Phazelie</t>
  </si>
  <si>
    <t>Ölrettich nem., Gelbsenf nem. Ramtillkraut, Phazelie, Alexandrinerklee</t>
  </si>
  <si>
    <t>Gartenkresse, Leindotter, Buchweizen, Ölrettich, Phazelie</t>
  </si>
  <si>
    <t>Ramtillkraut, Alexandrinerklee, Ölrettich, Inkarnatklee, Phazelie</t>
  </si>
  <si>
    <t>HR 144 Gründecke Neutral IBM/Bienen</t>
  </si>
  <si>
    <t>HR 145 Gründecke Vital IBM/Bienen</t>
  </si>
  <si>
    <t>HR 147 Rapsuntersaat</t>
  </si>
  <si>
    <t>Esparsette, Luzerne, Buchweizen, Ölrettich, Rotschwingel, Sonnenblume, Phazelie, Hornklee, Wegwarte, Weißklee, Kl. Wiesenknopf, Kornblume, Schafgarbe, Spitzwegerich, Fenchel, Leindotter, Malve, Ringelblume, Saflor</t>
  </si>
  <si>
    <t xml:space="preserve">€/kg oder Pkg. </t>
  </si>
  <si>
    <t>AckerGrün Begrünungsmischung AquaPluss früh</t>
  </si>
  <si>
    <r>
      <t xml:space="preserve">AckerGrün Begrünungsmischung BioPluss </t>
    </r>
    <r>
      <rPr>
        <b/>
        <sz val="12"/>
        <rFont val="Arial"/>
        <family val="2"/>
      </rPr>
      <t>BIO</t>
    </r>
  </si>
  <si>
    <t xml:space="preserve">Buchweizen, Phazelie, Alexandrinerklee - Aussaat bis Mitte August - Absackung 25 kg </t>
  </si>
  <si>
    <t xml:space="preserve">AckerGrün Begrünungsmischung BodenPluss  </t>
  </si>
  <si>
    <t xml:space="preserve">AckerGrün Begrünungsmischung ÖpulPluss </t>
  </si>
  <si>
    <r>
      <t xml:space="preserve">AckerGrün Begrünungsmischung ÖpulPluss </t>
    </r>
    <r>
      <rPr>
        <b/>
        <sz val="12"/>
        <rFont val="Arial"/>
        <family val="2"/>
      </rPr>
      <t>BIO</t>
    </r>
  </si>
  <si>
    <r>
      <t xml:space="preserve">AckerGrün Leguminosengemenge </t>
    </r>
    <r>
      <rPr>
        <b/>
        <sz val="12"/>
        <rFont val="Arial"/>
        <family val="2"/>
      </rPr>
      <t>BIO</t>
    </r>
  </si>
  <si>
    <t>AckerGrün RapsuntersaatPluss</t>
  </si>
  <si>
    <t>AckerGrün Wickroggen Gemenge</t>
  </si>
  <si>
    <r>
      <t xml:space="preserve">AckerGrün Wickroggen Gemenge </t>
    </r>
    <r>
      <rPr>
        <b/>
        <sz val="12"/>
        <rFont val="Arial"/>
        <family val="2"/>
      </rPr>
      <t>BIO</t>
    </r>
  </si>
  <si>
    <t>AckerGrün Wicktriticale Gemenge</t>
  </si>
  <si>
    <r>
      <t xml:space="preserve">AckerGrün Wicktriticale Gemenge </t>
    </r>
    <r>
      <rPr>
        <b/>
        <sz val="12"/>
        <rFont val="Arial"/>
        <family val="2"/>
      </rPr>
      <t>BIO</t>
    </r>
  </si>
  <si>
    <r>
      <t xml:space="preserve">WiesenGrün Landsberger Gemenge </t>
    </r>
    <r>
      <rPr>
        <b/>
        <sz val="12"/>
        <rFont val="Arial"/>
        <family val="2"/>
      </rPr>
      <t xml:space="preserve">BIO </t>
    </r>
    <r>
      <rPr>
        <sz val="12"/>
        <rFont val="Arial"/>
        <family val="2"/>
      </rPr>
      <t>ST 1</t>
    </r>
  </si>
  <si>
    <t>30 - 35</t>
  </si>
  <si>
    <t>Habitat - Bündnis pro NW</t>
  </si>
  <si>
    <t>35 - 40</t>
  </si>
  <si>
    <t>20 - 40</t>
  </si>
  <si>
    <t>REGIO-DIV ACKER</t>
  </si>
  <si>
    <t xml:space="preserve">BIODIVERSITÄTSMISCHUNG ÖPUL 2023 </t>
  </si>
  <si>
    <t>FABAFIT</t>
  </si>
  <si>
    <t>Aufwandmenge</t>
  </si>
  <si>
    <t>€/Pkg</t>
  </si>
  <si>
    <t>Anmerkung</t>
  </si>
  <si>
    <t xml:space="preserve">1 Pkg. für 25 kg Saatgut </t>
  </si>
  <si>
    <r>
      <rPr>
        <b/>
        <sz val="12"/>
        <rFont val="Arial"/>
        <family val="2"/>
      </rPr>
      <t>ReNatura BD 3</t>
    </r>
    <r>
      <rPr>
        <sz val="12"/>
        <rFont val="Arial"/>
        <family val="2"/>
      </rPr>
      <t xml:space="preserve"> Biodiversitätsmischung  Universal (herkunfszertifiziert nach G-Zert)</t>
    </r>
  </si>
  <si>
    <r>
      <rPr>
        <b/>
        <u/>
        <sz val="12"/>
        <rFont val="Arial"/>
        <family val="2"/>
      </rPr>
      <t>Regionale Blühmischung:</t>
    </r>
    <r>
      <rPr>
        <sz val="12"/>
        <rFont val="Arial"/>
        <family val="2"/>
      </rPr>
      <t xml:space="preserve">
</t>
    </r>
    <r>
      <rPr>
        <b/>
        <sz val="12"/>
        <rFont val="Arial"/>
        <family val="2"/>
      </rPr>
      <t>ReNatura BD 1</t>
    </r>
    <r>
      <rPr>
        <sz val="12"/>
        <rFont val="Arial"/>
        <family val="2"/>
      </rPr>
      <t xml:space="preserve"> Biodiversitätsmischung für Grünland  (herkunfszertifiziert nach G-Zert)</t>
    </r>
  </si>
  <si>
    <r>
      <rPr>
        <b/>
        <u/>
        <sz val="12"/>
        <rFont val="Arial"/>
        <family val="2"/>
      </rPr>
      <t>Regionale Blühmischung:</t>
    </r>
    <r>
      <rPr>
        <sz val="12"/>
        <rFont val="Arial"/>
        <family val="2"/>
      </rPr>
      <t xml:space="preserve">
</t>
    </r>
    <r>
      <rPr>
        <b/>
        <sz val="12"/>
        <rFont val="Arial"/>
        <family val="2"/>
      </rPr>
      <t>ReNatura BD 2</t>
    </r>
    <r>
      <rPr>
        <sz val="12"/>
        <rFont val="Arial"/>
        <family val="2"/>
      </rPr>
      <t xml:space="preserve"> Biodiversitätsmischung für Acker  (herkunfszertifiziert nach G-Zert)</t>
    </r>
  </si>
  <si>
    <t>Kulturarten, Sorten, Saatgutmischungen und Preise stellen Orientierungshilfen dar - ohne Gewähr auf dauernde Verfügbarkeit.</t>
  </si>
  <si>
    <t>Wegerichgewächse</t>
  </si>
  <si>
    <t>Var 6 konform:</t>
  </si>
  <si>
    <t>Kosten
je ha
 in €</t>
  </si>
  <si>
    <t>Drop  Down JA Nein Var. 6</t>
  </si>
  <si>
    <t>Pannonische Wicke</t>
  </si>
  <si>
    <t>Winterackerbohne</t>
  </si>
  <si>
    <t>Wintererbse</t>
  </si>
  <si>
    <t>Var 6</t>
  </si>
  <si>
    <t>Anzahl Pflanzenfamilien</t>
  </si>
  <si>
    <t>geeignet für ÖPUL Begrünungsvarianten gem. ÖPUL 2023</t>
  </si>
  <si>
    <t>relativer Leguminosenanteil:</t>
  </si>
  <si>
    <t>Variante 7</t>
  </si>
  <si>
    <t>Liste der Begrünungen</t>
  </si>
  <si>
    <r>
      <t xml:space="preserve">Buchweizen Handelsware </t>
    </r>
    <r>
      <rPr>
        <b/>
        <sz val="12"/>
        <color theme="1"/>
        <rFont val="Arial"/>
        <family val="2"/>
      </rPr>
      <t>BIO</t>
    </r>
  </si>
  <si>
    <r>
      <t xml:space="preserve">Esparsette </t>
    </r>
    <r>
      <rPr>
        <b/>
        <sz val="12"/>
        <rFont val="Arial"/>
        <family val="2"/>
      </rPr>
      <t>BIO</t>
    </r>
  </si>
  <si>
    <t xml:space="preserve">spätsaatverträglich, sehr gutes  Durchwurzelungsvermögen </t>
  </si>
  <si>
    <t>langsame Jugendentwicklung, feines Wurzelwerk, Fruchtfolge beachten: nicht selbstverträglich und nicht vor oder nach Kreuzblütlern anbauen; Preise je ha auf Basis der Saatgutmenge je ha laut Angabe der Saatgutunternehmen - Daher breite Streuung</t>
  </si>
  <si>
    <t>Linse</t>
  </si>
  <si>
    <t>80 - 100 kg/ha; Sorte Klaus:großkörnige Tellerlinse mit grünlich, brauner Kornfarbe; hochwüchsiger Pflanzentyp; 
Sorte Red Flash:großsamig, braun, für Speisezwecke geeignet, zum Zwischenfruchtanbau im Gemenge</t>
  </si>
  <si>
    <r>
      <t xml:space="preserve">Linse </t>
    </r>
    <r>
      <rPr>
        <b/>
        <sz val="12"/>
        <rFont val="Arial"/>
        <family val="2"/>
      </rPr>
      <t>BIO</t>
    </r>
  </si>
  <si>
    <t>6,9 - 8,7</t>
  </si>
  <si>
    <t>41,4 - 69,6</t>
  </si>
  <si>
    <t>54,9 - 73,2</t>
  </si>
  <si>
    <t>gut abfrostend bzw. frostempfindlich, trockenheitsverträglich, geeignet für Mulchsaat, rasche Jugendentwicklung; Fruchtfolge beachten: als Korbblütler mit der Sonnenblume verwandt, Vermehrungspotential für Sclerotinia</t>
  </si>
  <si>
    <t>Anbau bis Mitte August, um optimale Nematodenbekämpfung zu gewährleisten.
Preise je ha auf Basis der empfohlenen Saatgutmenge je ha laut Angabe der Saatgutunternehmen</t>
  </si>
  <si>
    <t>hohe N-Bindung, daher nur in Mischungen verwenden!, trockenheitsverträglich, sobald wie möglich anbauen (Juli), Sorte MONI ist buntblühend; durch Neurotoxin insektizide Wirkung</t>
  </si>
  <si>
    <t>wertvolle, eiweißreiche Futterleguminose, für kühlere und feuchte Lagen, überwinternd - qualitativ und quantitativ sehr gute Erträge. Durch Symbiose mit Knöllchenbakterien ist er als Bodenverbesserer und als Vorfrucht für andere Kulturpflanzen sehr gut geeignet</t>
  </si>
  <si>
    <t xml:space="preserve">110 - 180 kg/ha in Reinsaat; Leguminose, rasche Jugendentwicklung, bessere Durchwurzelung als Futtererbse - kurzwüchsig, für trockene Standorte bestens geeignet  </t>
  </si>
  <si>
    <t>Korbblütler, Tiefwurzler, frostet sicher ab, optimal zur Aufwertung vieler Zwischenfruchtmischungen, 
Saattiefe 2 - 3 cm</t>
  </si>
  <si>
    <t>Sand-Rauhafer</t>
  </si>
  <si>
    <t>Sareptasenf, geringe Blühneigung und hohes Blattbildungsvermögen. Bodenstrukturverbesserung durch kräftiges, tiefreichendes Wurzelwerk</t>
  </si>
  <si>
    <t>Kreuzblütler, nematodenresistent bei rechtzeitigem Anbau - ideal bei Zuckerrübenfruchtfolge, schnelle Jugendentwicklung, Aussaatstärke: 20 - 25 kg</t>
  </si>
  <si>
    <t>Kreuzblütler, Schnitt vor Blütenbildung, rasche Keimung, hohe Blattmasse für Schnittnutzung, nährstoffreiches Futter; Aussaatstärke bei Futternutzung 10 kg/ha - Aussaat bei Schnittnutzung nicht vor Mitte August; Aussaatstärke bei Gründüngung 15 - 20 kg/ha</t>
  </si>
  <si>
    <t>mehrjährige, robuste und eine der calciumreichsten Kräuterpflanzen, trockenresistent</t>
  </si>
  <si>
    <t>Steinklee gelb</t>
  </si>
  <si>
    <t>75,4 - 113,1</t>
  </si>
  <si>
    <t>frühreif; hoher Proteinertrag; geringes Tausendkorngewicht: 100 – 130 g; gute Winterhärte</t>
  </si>
  <si>
    <t>Kreuzblütler, geht im Aussaatjahr nicht in Blüte, bringt nährstoffreiches Futter; 
Saatstärke für Futternutzung: 10 kg/ha; Saatstärke für Gründüngung: 15 - 20kg/ha</t>
  </si>
  <si>
    <t>Kreuzblütler, raschwüchsig, mehrschnittig, gute Gülleverwertung, meist winterhart; spätsaatverträglich</t>
  </si>
  <si>
    <t>70 - 120</t>
  </si>
  <si>
    <t>2,62 - 3,42</t>
  </si>
  <si>
    <t>mehrjährige, ausdauernde Kräuterart, die gesundheitsfördernde Stoffe enthält, gute Trockenheitsresistenz</t>
  </si>
  <si>
    <t>* gekennzeichnete Preise sind exkl. gesetzlicher Mwst.angeführt</t>
  </si>
  <si>
    <t>Agrana Mischungen</t>
  </si>
  <si>
    <t>BETA-FLORIN SH (Feuchtgebiet)</t>
  </si>
  <si>
    <r>
      <t xml:space="preserve">abgestimmt auf die Bedürfnisse der Zuckerrübe im Feuchtgebiet; 
</t>
    </r>
    <r>
      <rPr>
        <u/>
        <sz val="11"/>
        <color theme="1"/>
        <rFont val="Arial"/>
        <family val="2"/>
      </rPr>
      <t>Zusammensetzung:</t>
    </r>
    <r>
      <rPr>
        <sz val="11"/>
        <color theme="1"/>
        <rFont val="Arial"/>
        <family val="2"/>
      </rPr>
      <t xml:space="preserve"> Ölrettich, Saatwicke, Kresse, Sandhafer, Buchweizen, Phacelia, Ramtillkraut (Mungo); 
</t>
    </r>
    <r>
      <rPr>
        <u/>
        <sz val="11"/>
        <color theme="1"/>
        <rFont val="Arial"/>
        <family val="2"/>
      </rPr>
      <t>Anbauzeitpunkt:</t>
    </r>
    <r>
      <rPr>
        <sz val="11"/>
        <color theme="1"/>
        <rFont val="Arial"/>
        <family val="2"/>
      </rPr>
      <t xml:space="preserve"> Anfang August in ein gut vorbereitetes Saatbett; Packungseinheit: 25 kg = 1 ha</t>
    </r>
  </si>
  <si>
    <t>BETA-FLORIN TG PLUS (Trockengebiet)</t>
  </si>
  <si>
    <r>
      <t xml:space="preserve">Abgestimmt auf die Bedürfnisse der Zuckerrübe im Trockengebiet;
</t>
    </r>
    <r>
      <rPr>
        <u/>
        <sz val="11"/>
        <color theme="1"/>
        <rFont val="Arial"/>
        <family val="2"/>
      </rPr>
      <t>Zusammensetzung:</t>
    </r>
    <r>
      <rPr>
        <sz val="11"/>
        <color theme="1"/>
        <rFont val="Arial"/>
        <family val="2"/>
      </rPr>
      <t xml:space="preserve"> Ölrettich, Linse, Saatwicke, Kresse, Buchweizen, Phacelia, Ramtillkraut (Mungo);
</t>
    </r>
    <r>
      <rPr>
        <u/>
        <sz val="11"/>
        <color theme="1"/>
        <rFont val="Arial"/>
        <family val="2"/>
      </rPr>
      <t>Anbauzeitpunkt:</t>
    </r>
    <r>
      <rPr>
        <sz val="11"/>
        <color theme="1"/>
        <rFont val="Arial"/>
        <family val="2"/>
      </rPr>
      <t xml:space="preserve"> Anfang August in ein gut vorbereitetes Saatbett; Packungseinheit: 20 kg = 1 ha</t>
    </r>
  </si>
  <si>
    <t>* Preise exkl. gesetzlicher Mwst.</t>
  </si>
  <si>
    <t>Öllein, Ramtillkraut, Sorghum, Sommerwicke, Alexandrinerklee, Abessinischer Kohl, Felderbse</t>
  </si>
  <si>
    <t>TL CoolSeason</t>
  </si>
  <si>
    <t>TL MaisPro TR (Greening 50)</t>
  </si>
  <si>
    <t>TL Beta Maxx 50 (mit Lupine)</t>
  </si>
  <si>
    <t>TL N-Fixx</t>
  </si>
  <si>
    <t>Phacelia, Öllein, Sonnenblume, Ramtillkraut, Sorghum, Felderbse, Sommerwicke, Alexandrinerklee, Perserklee, Serradella</t>
  </si>
  <si>
    <t>TL AquaPro</t>
  </si>
  <si>
    <t>TL SolaRigol (mit Lupine)</t>
  </si>
  <si>
    <t>Welsches Weidelgras, Inkarnatklee, Winterwicke, Rotklee, Bastard Weidelgras, Schwedenklee</t>
  </si>
  <si>
    <t>Rauhafer, falscher Buchweizen, Sonnenblume, Phacelia, Leindotter, Weißer Senf, Ölrettich, Öllein, Sorghum</t>
  </si>
  <si>
    <t>Rauhafer, Phacelia, Öllein, Sonnenblume, Sorghum</t>
  </si>
  <si>
    <t>Felderbse, Sommerwicke, Blaue Lupine, Alexandrinerklee, Rauhafer, Phacelia</t>
  </si>
  <si>
    <t>Felderbse, Sommerwicke, Serradella, Alexandrinerklee, Sparriger Klee, Rauhafer, Ölrettich, Sonnenblume, Öllein, Blaue Lupine</t>
  </si>
  <si>
    <t>Ramtillkraut, Phazelie, Alexandrinerklee</t>
  </si>
  <si>
    <t>Ramtillkraut, Gartenkresse, Buchweizen, Ölrettich, Phazelie, Meliorationsrettich</t>
  </si>
  <si>
    <t>Ramtillkraut, Inkarnatklee, Alexandrinerklee, Öllein</t>
  </si>
  <si>
    <t xml:space="preserve">AckerGrün Begrünungsmischung BodenlockerungsPluss  </t>
  </si>
  <si>
    <t>Kräuterzusatz</t>
  </si>
  <si>
    <t>zusätzliche Produkte</t>
  </si>
  <si>
    <t xml:space="preserve">Saatbau Mischungen mit 70% BIO - Komponenten </t>
  </si>
  <si>
    <t>hochwirksames und hochkonzentriertes Rhizobienpräparat; mobilisiert Leistungsreserven; steigert Effizienz der Knöllchenbakterien</t>
  </si>
  <si>
    <t>Zusammensetzung der Saatgutmischungen - Anmerkungen</t>
  </si>
  <si>
    <r>
      <rPr>
        <b/>
        <u/>
        <sz val="11"/>
        <rFont val="Arial"/>
        <family val="2"/>
      </rPr>
      <t>20 Arten aus 9 Pflanzenfamilien</t>
    </r>
    <r>
      <rPr>
        <sz val="11"/>
        <rFont val="Arial"/>
        <family val="2"/>
      </rPr>
      <t xml:space="preserve">:  Färberkamille, Wundklee, Kornblume, Gewöhnliche Wiesen-Flockenblume, Gewöhnlich-Wegwarte, Wilde Möhre, Gewöhnlich-Natternkopf, Magerwiesen-Margerite, Wiesen-Hornklee, Moschus-Malve, Gelbklee, Gemeine Nachtkerze, Große-Bibernelle, Esparsette, Klatschmohn, Eigentlicher Wiesensalbei, Rote Lichtnelke, Gewöhnliches Blasen-Leimkraut, Hasenklee, Wiesen-Rotklee
</t>
    </r>
    <r>
      <rPr>
        <b/>
        <u/>
        <sz val="11"/>
        <rFont val="Arial"/>
        <family val="2"/>
      </rPr>
      <t>Anbauzeitpunkt:</t>
    </r>
    <r>
      <rPr>
        <b/>
        <sz val="11"/>
        <rFont val="Arial"/>
        <family val="2"/>
      </rPr>
      <t xml:space="preserve"> Ab April bis Mitte Juni und Mitte August bis Mitte September
</t>
    </r>
    <r>
      <rPr>
        <sz val="11"/>
        <rFont val="Arial"/>
        <family val="2"/>
      </rPr>
      <t>Abgabe in der 5 kg Packung</t>
    </r>
  </si>
  <si>
    <r>
      <rPr>
        <b/>
        <u/>
        <sz val="11"/>
        <rFont val="Arial"/>
        <family val="2"/>
      </rPr>
      <t>37 Arten aus 12 Pflanzenfamilien:</t>
    </r>
    <r>
      <rPr>
        <sz val="11"/>
        <rFont val="Arial"/>
        <family val="2"/>
      </rPr>
      <t xml:space="preserve">  Gewöhnliches Ruchgras, Zitttergras, Wiesen-Kammgras, Horstrotschwingel, Wiesenrispe, Echte Schafgarbe, Echt-Wundklee, Echt-Betonie, Gewöhnliche Wiesenglockenblume, Echter-Kümmel, Gewöhnliche Skabiosenflockenblume, Gewöhnliche Wiesenflockenblume, Wiesen-Pippau, Gewöhnlich-Wegwarte, Wilde Möhre, Karthäusernelke, Gewöhnlich-Natternkopf, Echte Nelkenwurz, Wiesenlabkraut, Echtes Labkraut, Gewöhnliche Wiesenwitwenblume, Rauer Löwenzahn, Gewöhnlicher Wiesen-Leuenzahn, Kleine Wiesen-Margerite, Fettwiesen-Margerite, Wiesen-Hornklee, Gewöhnlich-Kuckuckslichtnelke, Gelbklee, Pastinak, Groß-Bibernelle, Spitz-Wegerich, Mittel-Wegerich, Gewöhnliche Braunelle, Kleiner Wiesenknopf, Rote Lichtnelke, Gewöhnliches Nick-Leimkraut, Gewöhnliches Blasen-Leimkraut, Östlicher Wiesenbocksbart
</t>
    </r>
    <r>
      <rPr>
        <b/>
        <u/>
        <sz val="11"/>
        <rFont val="Arial"/>
        <family val="2"/>
      </rPr>
      <t>Anbauzeitpunkt:</t>
    </r>
    <r>
      <rPr>
        <b/>
        <sz val="11"/>
        <rFont val="Arial"/>
        <family val="2"/>
      </rPr>
      <t xml:space="preserve"> Ab April bis Mitte Juni und Mitte August bis Mitte September
</t>
    </r>
    <r>
      <rPr>
        <sz val="11"/>
        <rFont val="Arial"/>
        <family val="2"/>
      </rPr>
      <t>Abgabe in der 5 kg Packung</t>
    </r>
  </si>
  <si>
    <r>
      <rPr>
        <b/>
        <u/>
        <sz val="11"/>
        <rFont val="Arial"/>
        <family val="2"/>
      </rPr>
      <t>33 Arten aus 12 Pflanzenfamilien:</t>
    </r>
    <r>
      <rPr>
        <sz val="11"/>
        <rFont val="Arial"/>
        <family val="2"/>
      </rPr>
      <t xml:space="preserve"> Echte Schafgarbe, Echt-Wundklee, Echt-Betonie, Gewöhnliche Wiesenglockenblume, Gewöhnliche Skabiosenflockenblume, Kornblume, Gewöhnliche Wiesenflockenblume, Wiesen-Pippau, Gewöhnlich-Wegwarte, Wilde Möhre, Karthäusernelke, Wild-Karde, Gewöhnlich-Natternkopf,  Echtes Labkraut, Echt-Johanniskraut, Gewöhnliche Wiesenwitwenblume, Rauer Löwenzahn, Herbst-Schuppen Leuenzahn, Kleine Wiesen-Margerite, Fettwiesen-Margerite,  Gewöhnlich-Kuckuckslichtnelke, Echt-Kamille, Weiß-Steinklee, Gelb-Steinklee, Klatsch-Mohn, Echt-Pastinak, Eigentlicher Wiesensalbei, Rote Lichtnelke, Gewöhnliches Nick-Leimkraut, Gewöhnliches Blasen-Leimkraut, Feld-Klee, Faden-Klee, Kleinblütige Königskerze
</t>
    </r>
    <r>
      <rPr>
        <b/>
        <u/>
        <sz val="11"/>
        <rFont val="Arial"/>
        <family val="2"/>
      </rPr>
      <t>Anbauzeitpunkt:</t>
    </r>
    <r>
      <rPr>
        <b/>
        <sz val="11"/>
        <rFont val="Arial"/>
        <family val="2"/>
      </rPr>
      <t xml:space="preserve"> Ab April bis Mitte Juni und Mitte August bis Mitte September
</t>
    </r>
    <r>
      <rPr>
        <sz val="11"/>
        <rFont val="Arial"/>
        <family val="2"/>
      </rPr>
      <t>Abgabe in der 5 kg Packung</t>
    </r>
  </si>
  <si>
    <t>Meldung zu Düngemöglichkeit</t>
  </si>
  <si>
    <t>relativer Leguminosenanteil</t>
  </si>
  <si>
    <t>Wirtschaftsdüngerart</t>
  </si>
  <si>
    <t>Rindergülle</t>
  </si>
  <si>
    <t>Schweinegülle</t>
  </si>
  <si>
    <t>Hühnergülle</t>
  </si>
  <si>
    <t>Jauche</t>
  </si>
  <si>
    <t>JW Faktor</t>
  </si>
  <si>
    <t>Ausbringverluste</t>
  </si>
  <si>
    <t>Stallmist</t>
  </si>
  <si>
    <t>Kompost</t>
  </si>
  <si>
    <t>Rottemist</t>
  </si>
  <si>
    <t>Resultat ab Lager</t>
  </si>
  <si>
    <t>Resultat jw</t>
  </si>
  <si>
    <t>Anlage5 Gebiete</t>
  </si>
  <si>
    <t>außerhalb Anlage 5 Gebiete</t>
  </si>
  <si>
    <t>Düngeobergrenzen im Herbst
gem. NAPV:</t>
  </si>
  <si>
    <r>
      <t xml:space="preserve">Zulässige Düngung im </t>
    </r>
    <r>
      <rPr>
        <b/>
        <u/>
        <sz val="11"/>
        <color indexed="9"/>
        <rFont val="Arial"/>
        <family val="2"/>
      </rPr>
      <t>Herbst</t>
    </r>
    <r>
      <rPr>
        <b/>
        <sz val="11"/>
        <color indexed="9"/>
        <rFont val="Arial"/>
        <family val="2"/>
      </rPr>
      <t>:</t>
    </r>
  </si>
  <si>
    <t>Mischungsanteil Leguminosen
(relativer Reinsaatanteil)</t>
  </si>
  <si>
    <t>Saatwicke / Sommerwicke</t>
  </si>
  <si>
    <t>Bedienungsanleitung Begrünungsrechner 2025</t>
  </si>
  <si>
    <r>
      <t xml:space="preserve">Dieser Bereich ist in die Tabellenblätter </t>
    </r>
    <r>
      <rPr>
        <b/>
        <u/>
        <sz val="11"/>
        <color theme="1"/>
        <rFont val="Arial"/>
        <family val="2"/>
      </rPr>
      <t>Begrünungstabellen 2025</t>
    </r>
    <r>
      <rPr>
        <sz val="11"/>
        <color theme="1"/>
        <rFont val="Arial"/>
        <family val="2"/>
      </rPr>
      <t xml:space="preserve"> und </t>
    </r>
    <r>
      <rPr>
        <b/>
        <u/>
        <sz val="11"/>
        <color theme="1"/>
        <rFont val="Arial"/>
        <family val="2"/>
      </rPr>
      <t>Anbauzeitpunkte</t>
    </r>
    <r>
      <rPr>
        <sz val="11"/>
        <color theme="1"/>
        <rFont val="Arial"/>
        <family val="2"/>
      </rPr>
      <t xml:space="preserve"> gegliedert.</t>
    </r>
  </si>
  <si>
    <t>Jahr 2025</t>
  </si>
  <si>
    <r>
      <t xml:space="preserve">Sie können hier den entsprechenden Preis eingeben - 
</t>
    </r>
    <r>
      <rPr>
        <sz val="11"/>
        <rFont val="Arial"/>
        <family val="2"/>
      </rPr>
      <t>die vorausgefüllten Werte entsprechen Durchschnittswerten laut Preisspanne gem. Begrünungstabelle 2025</t>
    </r>
    <r>
      <rPr>
        <b/>
        <sz val="11"/>
        <rFont val="Arial"/>
        <family val="2"/>
      </rPr>
      <t xml:space="preserve">
</t>
    </r>
  </si>
  <si>
    <r>
      <t xml:space="preserve">Sie können hier den entsprechenden Preis eingeben - 
</t>
    </r>
    <r>
      <rPr>
        <sz val="11"/>
        <rFont val="Arial"/>
        <family val="2"/>
      </rPr>
      <t>die vorausgefüllten Werte entsprechen Durchschnittswerten laut Preisspanne gem. Begrünungstabelle 2025</t>
    </r>
  </si>
  <si>
    <t>Sandhafer / Rauhafer</t>
  </si>
  <si>
    <t>Winterrübsen</t>
  </si>
  <si>
    <t>Öllein</t>
  </si>
  <si>
    <t>4,43* - 4,97</t>
  </si>
  <si>
    <t>110,8* - 148,8</t>
  </si>
  <si>
    <t>Leguminose, hohes Nachwuchsvermögen, im Gemenge mit Gräsern anbauen - gute Bienenweide, gleichmäßige Bodendurchwurzelung und eine tiefreichende Hauptwurzel schließen den Boden sehr gut auf, meist abfrostend; bei Futternutzung: zu Beginn der Blüte erzielt man größte Energiedichte und Verdaulichkeit - eiweißreiches Grünfutter</t>
  </si>
  <si>
    <r>
      <t xml:space="preserve">Alexandrinerklee </t>
    </r>
    <r>
      <rPr>
        <b/>
        <sz val="12"/>
        <color theme="1"/>
        <rFont val="Arial"/>
        <family val="2"/>
      </rPr>
      <t>BIO</t>
    </r>
  </si>
  <si>
    <t>5,14 - 5,65</t>
  </si>
  <si>
    <t>128,5 - 169,5</t>
  </si>
  <si>
    <t>2,94* - 3,22</t>
  </si>
  <si>
    <t>73,5* - 80,5</t>
  </si>
  <si>
    <t>2- bis mehrjährig - in milden und mittleren Lagen auch mehrjährig, hoher Grünmasseertrag bei guter Nährstoffversorgung, ertragreich</t>
  </si>
  <si>
    <r>
      <t xml:space="preserve">Bastardraygras </t>
    </r>
    <r>
      <rPr>
        <b/>
        <sz val="12"/>
        <color theme="1"/>
        <rFont val="Arial"/>
        <family val="2"/>
      </rPr>
      <t>BIO</t>
    </r>
  </si>
  <si>
    <t>Buchweizen Bamby "SLK"</t>
  </si>
  <si>
    <r>
      <t xml:space="preserve">Buchweizen Bamby </t>
    </r>
    <r>
      <rPr>
        <b/>
        <sz val="12"/>
        <color theme="1"/>
        <rFont val="Arial"/>
        <family val="2"/>
      </rPr>
      <t>BIO</t>
    </r>
    <r>
      <rPr>
        <sz val="12"/>
        <color theme="1"/>
        <rFont val="Arial"/>
        <family val="2"/>
      </rPr>
      <t xml:space="preserve"> "SLK"</t>
    </r>
  </si>
  <si>
    <t>Buchweizen Handelsware</t>
  </si>
  <si>
    <t>1,76 - 2,19*</t>
  </si>
  <si>
    <t>105,6 - 175,2*</t>
  </si>
  <si>
    <t>2,39 - 2,97</t>
  </si>
  <si>
    <t>143,4 - 237,6</t>
  </si>
  <si>
    <t>Einjähriges Raygras</t>
  </si>
  <si>
    <t>2,59* - 2,77</t>
  </si>
  <si>
    <t>103,6* - 110,8</t>
  </si>
  <si>
    <t>2,66* - 3,48*</t>
  </si>
  <si>
    <t>66,5* - 104,4*</t>
  </si>
  <si>
    <r>
      <t xml:space="preserve">Englisches Raygras </t>
    </r>
    <r>
      <rPr>
        <b/>
        <sz val="12"/>
        <color theme="1"/>
        <rFont val="Arial"/>
        <family val="2"/>
      </rPr>
      <t>BIO</t>
    </r>
  </si>
  <si>
    <r>
      <t xml:space="preserve">Esparsette </t>
    </r>
    <r>
      <rPr>
        <b/>
        <sz val="12"/>
        <color theme="1"/>
        <rFont val="Arial"/>
        <family val="2"/>
      </rPr>
      <t>BIO</t>
    </r>
  </si>
  <si>
    <t>1,21 - 1,83*</t>
  </si>
  <si>
    <t>145,2 - 292,8*</t>
  </si>
  <si>
    <t>Leguminose, braucht weniger Keimwasser als Körnererbse - Anbau mit Stützfrucht, eiweißreiches Grünfutter und als Silage geeignet</t>
  </si>
  <si>
    <r>
      <t xml:space="preserve">Futtererbse </t>
    </r>
    <r>
      <rPr>
        <b/>
        <sz val="12"/>
        <color theme="1"/>
        <rFont val="Arial"/>
        <family val="2"/>
      </rPr>
      <t>BIO</t>
    </r>
  </si>
  <si>
    <t>178,8 - 223,5</t>
  </si>
  <si>
    <t>3 - 5kg/ha, Gutes Futter, speziell für Wild sehr gut geeignet; hohe Winterfestigkeit, aber nicht mehrjährig; Absackung in 1  kg und 25 kg Gebinde</t>
  </si>
  <si>
    <t>7,67* - 9,38</t>
  </si>
  <si>
    <t>230,1* - 281,4</t>
  </si>
  <si>
    <t>Leguminose, für magere Böden, anspruchslos, trockenresistent, eher niederliegend - nur im Gemenge sinnvoll</t>
  </si>
  <si>
    <t>2,09*</t>
  </si>
  <si>
    <t>313,5*</t>
  </si>
  <si>
    <t>1-2kg/ha; länglich flach, im Boden sitzendweiß mit violettem Kopf, 1 PG = 0,5kg</t>
  </si>
  <si>
    <t xml:space="preserve">Gelbes, großfallendes Korn, mittelfrühe Reife , TKM 8-15 g </t>
  </si>
  <si>
    <r>
      <t xml:space="preserve">Hirse </t>
    </r>
    <r>
      <rPr>
        <b/>
        <sz val="12"/>
        <color theme="1"/>
        <rFont val="Arial"/>
        <family val="2"/>
      </rPr>
      <t>BIO</t>
    </r>
  </si>
  <si>
    <t>16,48 - 17,74*</t>
  </si>
  <si>
    <t>329,6 - 354,8*</t>
  </si>
  <si>
    <t>Leguminose, auch für  trockene Lagen und schlechte Böden geeignet, niedriger Wuchs und sehr ausdauernd - nur im Gemenge sinnvoll</t>
  </si>
  <si>
    <t>3,32 - 3,56</t>
  </si>
  <si>
    <t>99,6 - 106,8</t>
  </si>
  <si>
    <t>Leguminose, spätsaatverträglich, raschwüchsig, gute Unkrautunterdrückung, gute Vorfruchtwirkung, guter Mischungspartner in überwinternden Begrünungen, 
mit sich selbst nicht gut verträglich (Anbaupausen!), meist überwinternd</t>
  </si>
  <si>
    <r>
      <t xml:space="preserve">Inkarnatklee </t>
    </r>
    <r>
      <rPr>
        <b/>
        <sz val="12"/>
        <color theme="1"/>
        <rFont val="Arial"/>
        <family val="2"/>
      </rPr>
      <t>BIO</t>
    </r>
  </si>
  <si>
    <t xml:space="preserve">Italienisches Raygras (Welsches Weidelgras) </t>
  </si>
  <si>
    <t>2,58 - 3,05*</t>
  </si>
  <si>
    <t>103,2 - 122*</t>
  </si>
  <si>
    <t>kein Sklerotiniaüberträger, eignet sich für Frischverfütterung, geeignet für Heu- und Silagebereitung, 
guter N-Verwerter</t>
  </si>
  <si>
    <r>
      <t xml:space="preserve">Italienisches Raygras </t>
    </r>
    <r>
      <rPr>
        <b/>
        <sz val="12"/>
        <color theme="1"/>
        <rFont val="Arial"/>
        <family val="2"/>
      </rPr>
      <t>BIO</t>
    </r>
  </si>
  <si>
    <r>
      <t xml:space="preserve">Kresse </t>
    </r>
    <r>
      <rPr>
        <b/>
        <sz val="12"/>
        <color theme="1"/>
        <rFont val="Arial"/>
        <family val="2"/>
      </rPr>
      <t>BIO</t>
    </r>
  </si>
  <si>
    <t>Krumenklee</t>
  </si>
  <si>
    <t>hoher Eiweißgehalt, einjährige Leguminose mit Pfahlwurzel</t>
  </si>
  <si>
    <t xml:space="preserve"> 10 - 15</t>
  </si>
  <si>
    <t>anspruchslos, tiefwurzelnd</t>
  </si>
  <si>
    <t xml:space="preserve"> 6 - 10</t>
  </si>
  <si>
    <t>2,87* - 6,93</t>
  </si>
  <si>
    <t>17,2* - 69,3</t>
  </si>
  <si>
    <r>
      <t xml:space="preserve">Leindotter </t>
    </r>
    <r>
      <rPr>
        <b/>
        <sz val="12"/>
        <color theme="1"/>
        <rFont val="Arial"/>
        <family val="2"/>
      </rPr>
      <t>BIO</t>
    </r>
  </si>
  <si>
    <t>8,47 - 9,01</t>
  </si>
  <si>
    <t>50,8 - 90,1</t>
  </si>
  <si>
    <t>3,26 - 5,71</t>
  </si>
  <si>
    <t>260,8 - 456,8</t>
  </si>
  <si>
    <r>
      <t xml:space="preserve">Linse </t>
    </r>
    <r>
      <rPr>
        <b/>
        <sz val="12"/>
        <color theme="1"/>
        <rFont val="Arial"/>
        <family val="2"/>
      </rPr>
      <t>BIO</t>
    </r>
  </si>
  <si>
    <t>6,99* - 8,31</t>
  </si>
  <si>
    <t>174,8* - 207,8</t>
  </si>
  <si>
    <t>"Königin der Futterpflanzen", Wertvolle Futterleguminose mit hohem Eiweißgehalt für wärmere, niederschlagsärmere Gebiete. Kalkhaltige, tiefgründige Böden werden bevorzugt. pH -Wert um 6,5 erforderlich, verträgt keine stauende Nässe. Saatgut vor der Saat zu inokulieren. Preise je ha von Sorte und Qualität abhängig; Abhängig vom Saatgutanbieter ist das Saatgut vor der Saat zu inokulieren.</t>
  </si>
  <si>
    <r>
      <t xml:space="preserve">Luzerne </t>
    </r>
    <r>
      <rPr>
        <b/>
        <sz val="12"/>
        <color theme="1"/>
        <rFont val="Arial"/>
        <family val="2"/>
      </rPr>
      <t>BIO</t>
    </r>
  </si>
  <si>
    <t>8,93 - 9,42</t>
  </si>
  <si>
    <t>223,2 - 235,5</t>
  </si>
  <si>
    <t>rasche Entwicklung, wenig oberirdische Masse, verholzt nicht, kräftige Pfahlwurzel mit guter Tiefenlockerung, frostet ab und hinterlässt im Frühjahr nur kleine runde Löcher</t>
  </si>
  <si>
    <r>
      <t xml:space="preserve">Meliorationsrettich </t>
    </r>
    <r>
      <rPr>
        <b/>
        <sz val="12"/>
        <color theme="1"/>
        <rFont val="Arial"/>
        <family val="2"/>
      </rPr>
      <t>BIO</t>
    </r>
  </si>
  <si>
    <t xml:space="preserve"> 9 - 10</t>
  </si>
  <si>
    <t>3,3* - 4,18</t>
  </si>
  <si>
    <t>29,7* - 41,8</t>
  </si>
  <si>
    <t>3,03 - 3,3*</t>
  </si>
  <si>
    <t>60,6 - 81,9</t>
  </si>
  <si>
    <r>
      <t xml:space="preserve">Ölrettich </t>
    </r>
    <r>
      <rPr>
        <b/>
        <sz val="12"/>
        <color theme="1"/>
        <rFont val="Arial"/>
        <family val="2"/>
      </rPr>
      <t>BIO</t>
    </r>
  </si>
  <si>
    <t>4,33 - 4,55</t>
  </si>
  <si>
    <t>86,6 - 113,6</t>
  </si>
  <si>
    <t>3,47 - 3,83*</t>
  </si>
  <si>
    <t>69,4 - 95,8*</t>
  </si>
  <si>
    <t>6,19* - 6,44</t>
  </si>
  <si>
    <t>123,8* - 128,8</t>
  </si>
  <si>
    <t xml:space="preserve">Leguminose, hohes Nachwuchsvermögen im Gemenge mit Gräsern bauen, gute Bienenweide, eiweißreiches Grünfutter; Fruchtfolge beachten: vermehrt eine Unterart des Rübenzystennematoden </t>
  </si>
  <si>
    <r>
      <t xml:space="preserve">Persischer Klee </t>
    </r>
    <r>
      <rPr>
        <b/>
        <sz val="12"/>
        <color theme="1"/>
        <rFont val="Arial"/>
        <family val="2"/>
      </rPr>
      <t>BIO</t>
    </r>
  </si>
  <si>
    <t xml:space="preserve"> 10 - 12</t>
  </si>
  <si>
    <t>4,36 - 4,97</t>
  </si>
  <si>
    <t>43,6 - 59,7</t>
  </si>
  <si>
    <t>10 - 16 kg/ha; Dunkelkeimer, braucht feines Saatbett, nematoden- und fruchtfolgeneutral, trockenheitstolerant, Eignung für Mulchsaat, Bienenweide, bei später Aussaat höhere Saatstärke verwenden</t>
  </si>
  <si>
    <r>
      <t xml:space="preserve">Phazelie </t>
    </r>
    <r>
      <rPr>
        <b/>
        <sz val="12"/>
        <color theme="1"/>
        <rFont val="Arial"/>
        <family val="2"/>
      </rPr>
      <t>BIO</t>
    </r>
  </si>
  <si>
    <t>5,24 - 6,22</t>
  </si>
  <si>
    <t>52,4 - 74,6</t>
  </si>
  <si>
    <r>
      <t xml:space="preserve">Pigmentplatterbse </t>
    </r>
    <r>
      <rPr>
        <b/>
        <sz val="12"/>
        <color theme="1"/>
        <rFont val="Arial"/>
        <family val="2"/>
      </rPr>
      <t>BIO</t>
    </r>
  </si>
  <si>
    <t>17,12* - 26,8</t>
  </si>
  <si>
    <t>171,2* - 402</t>
  </si>
  <si>
    <t>7,54* - 8,25</t>
  </si>
  <si>
    <t>150,8* - 206,3</t>
  </si>
  <si>
    <r>
      <t xml:space="preserve">Rotklee </t>
    </r>
    <r>
      <rPr>
        <b/>
        <sz val="12"/>
        <color theme="1"/>
        <rFont val="Arial"/>
        <family val="2"/>
      </rPr>
      <t>BIO</t>
    </r>
  </si>
  <si>
    <t>8,59 - 9,51</t>
  </si>
  <si>
    <t>171,8 - 237,75</t>
  </si>
  <si>
    <t>2,08 - 2,6</t>
  </si>
  <si>
    <t>208 - 338</t>
  </si>
  <si>
    <t>Leguminose, gute Futterleistung, rasche Jugendentwicklung  - Anbau im Gemenge, intensives und schnellwachsendes Wurzelwerk fördert die Garebildung, gute Unkrautunterdrückung, eiweißreiches Grünfutter</t>
  </si>
  <si>
    <r>
      <t xml:space="preserve">Saatwicke </t>
    </r>
    <r>
      <rPr>
        <b/>
        <sz val="12"/>
        <color theme="1"/>
        <rFont val="Arial"/>
        <family val="2"/>
      </rPr>
      <t>BIO</t>
    </r>
  </si>
  <si>
    <t>2,67 - 2,7</t>
  </si>
  <si>
    <t>267 - 351</t>
  </si>
  <si>
    <t>5,35 - 5,39</t>
  </si>
  <si>
    <t>160,5 - 161,7</t>
  </si>
  <si>
    <t xml:space="preserve">80 - 120kg/ha; bei starkem Unkrautdruck und sehr leichten Böden die höhere Aussaatstärke wählen.  Saatzeit April - September - zur Bekämpfung von Pratylenchus penetrans (Wurzelläsionsälchen)  keine Vermehrung von Trichodoriden (Überträger der Eisenfleckigkeit); Saattiefe 2 - 4 cm;
für alle Bodenarten geeignet, auch für sandige und saure Böden; Nutzung zur Silage, Viehfütterung und Biogas möglich. </t>
  </si>
  <si>
    <t xml:space="preserve"> 10 - 20</t>
  </si>
  <si>
    <t>1,97 - 2,7</t>
  </si>
  <si>
    <t>19,7 - 53,9</t>
  </si>
  <si>
    <t>Kreuzblütler, schnelle Bodenbedeckung daher gute Unkrautunterdrückung, gute N-Verwertung im Herbst, zur Mulchsaat geeignet, später Anbau von Vorteil um nicht in Blüte zu gehen, Aussaatstärke 10 - 20 kg</t>
  </si>
  <si>
    <r>
      <t xml:space="preserve">Senf </t>
    </r>
    <r>
      <rPr>
        <b/>
        <sz val="12"/>
        <color theme="1"/>
        <rFont val="Arial"/>
        <family val="2"/>
      </rPr>
      <t>BIO</t>
    </r>
  </si>
  <si>
    <t>2,86 - 2,98</t>
  </si>
  <si>
    <t>28,6 - 59,6</t>
  </si>
  <si>
    <t>Senf nematodenhemmend / neamtodenresistent</t>
  </si>
  <si>
    <t>2,52 - 3,69</t>
  </si>
  <si>
    <t>50,4 - 73,8</t>
  </si>
  <si>
    <t>2,86 - 3,3*</t>
  </si>
  <si>
    <t>28,6 - 66*</t>
  </si>
  <si>
    <t>5,54* - 6,46</t>
  </si>
  <si>
    <t>138,5* - 161,5</t>
  </si>
  <si>
    <t>Leguminose, 2-jährig, d.h. Blütenbildung erst im 2. Jahr - gute Durchwurzelung des Bodens, durchwurzelt auch verdichtete Böden, anspruchslose, kalkliebende Pflanze, gute Meliorationspflanze, gelber Steinklee ist anpassungsfähiger und trockenheitstoleranter - im Gemenge anbauen, keine Futternutzung wegen Cumaringehalt</t>
  </si>
  <si>
    <t>2,99 - 3,14*</t>
  </si>
  <si>
    <t>59,9 - 94,2*</t>
  </si>
  <si>
    <t>hohes Nachwuchsvermögen - Nutzung als Grünfutter/Silage ab ca. 60 cm Wuchshöhe und vor Beginn des Rispenschiebens; Nutzung für Biogasproduktion möglich, Wildäcker</t>
  </si>
  <si>
    <r>
      <t xml:space="preserve">Sudangras </t>
    </r>
    <r>
      <rPr>
        <b/>
        <sz val="12"/>
        <color theme="1"/>
        <rFont val="Arial"/>
        <family val="2"/>
      </rPr>
      <t>BIO</t>
    </r>
  </si>
  <si>
    <t>2,06*</t>
  </si>
  <si>
    <t>206*</t>
  </si>
  <si>
    <t>anspruchslose Gräserart, bestockt stärker als Roggen, gutes Wurzelwerk, überwinternd,  auch für ärmste Böden geeignet, für Wildacker geeignet, gute Wildäsung</t>
  </si>
  <si>
    <r>
      <t xml:space="preserve">Waldstaudenroggen </t>
    </r>
    <r>
      <rPr>
        <b/>
        <sz val="12"/>
        <color theme="1"/>
        <rFont val="Arial"/>
        <family val="2"/>
      </rPr>
      <t>BIO</t>
    </r>
    <r>
      <rPr>
        <sz val="12"/>
        <color theme="1"/>
        <rFont val="Arial"/>
        <family val="2"/>
      </rPr>
      <t xml:space="preserve"> "SLK"</t>
    </r>
  </si>
  <si>
    <t>8,81* - 9,79</t>
  </si>
  <si>
    <t>105,7* - 117,5</t>
  </si>
  <si>
    <t>Leguminose, überwinternd, kurzwüchsig, geringe Boden- und Klimaansprüche aber lichtbedürftig , ausläufertreibend - Lückenfüller- Unterscheidung der Sorten in klein-mittel-großblättrig</t>
  </si>
  <si>
    <r>
      <t xml:space="preserve">Weißklee </t>
    </r>
    <r>
      <rPr>
        <b/>
        <sz val="12"/>
        <color theme="1"/>
        <rFont val="Arial"/>
        <family val="2"/>
      </rPr>
      <t>BIO</t>
    </r>
  </si>
  <si>
    <t>283,8 - 354,8</t>
  </si>
  <si>
    <r>
      <t xml:space="preserve">Winterfuttererbse </t>
    </r>
    <r>
      <rPr>
        <b/>
        <sz val="12"/>
        <color theme="1"/>
        <rFont val="Arial"/>
        <family val="2"/>
      </rPr>
      <t>BIO</t>
    </r>
  </si>
  <si>
    <t>303,6 - 379,5</t>
  </si>
  <si>
    <t>2,86 - 3,21*</t>
  </si>
  <si>
    <t>28,6 - 48,2*</t>
  </si>
  <si>
    <t>3,44 - 3,69</t>
  </si>
  <si>
    <t>34,4 - 55,3</t>
  </si>
  <si>
    <t>2,46 - 3,03*</t>
  </si>
  <si>
    <t>172,2 - 363,4</t>
  </si>
  <si>
    <r>
      <t xml:space="preserve">Winterwicke Pannonisch </t>
    </r>
    <r>
      <rPr>
        <b/>
        <sz val="12"/>
        <color theme="1"/>
        <rFont val="Arial"/>
        <family val="2"/>
      </rPr>
      <t>BIO</t>
    </r>
  </si>
  <si>
    <t>183,4 - 410,9</t>
  </si>
  <si>
    <t>TL WarmSeason AT</t>
  </si>
  <si>
    <t>Winterroggen, Rauhafer, Inkarnatklee, Winterfutterraps, Stoppelrüben, Pannonische Wicke, Abessinischer Kohl, Tiefenrettich, Öllein, Leindotter</t>
  </si>
  <si>
    <t>Rauhafer, Sorghum, Ramtillkraut, Öllein, Phacelia, Sonnenblume</t>
  </si>
  <si>
    <t>TL VitaMaxx TR AT</t>
  </si>
  <si>
    <t>Phacelia, Öllein, Rauhafer, Ramtillkraut, Tiefenrettich, Abessinischer Kohl, Leindotter, falscher Buchweizen, Weißer Senf, Sonnenblume</t>
  </si>
  <si>
    <t>Rauhafer, Sorghum, Sommerwicke, Felderbse, Tiefenrettich, Öllein, Ramtillkraut, Sonnenblume, Phacelia, Alexandrinerklee, Leindotter, Abessinischer Kohl</t>
  </si>
  <si>
    <t>TL SolaRigol AT</t>
  </si>
  <si>
    <t>Öllein, Rauhafer, Perserklee, Ramtillkraut, Felderbse, Sommerwicke, Serradella, Alexandrinerklee</t>
  </si>
  <si>
    <t>TL SolaRigol R</t>
  </si>
  <si>
    <t>Felderbse, Sommerwicke, Ölrettich, Blaue Lupine, Alexandrinerklee, Perserklee, Ramtillkraut</t>
  </si>
  <si>
    <t xml:space="preserve">TL FutterGreen einjährig </t>
  </si>
  <si>
    <r>
      <t xml:space="preserve">TL BioMax </t>
    </r>
    <r>
      <rPr>
        <b/>
        <sz val="12"/>
        <rFont val="Arial"/>
        <family val="2"/>
      </rPr>
      <t>Bio</t>
    </r>
  </si>
  <si>
    <r>
      <t xml:space="preserve">TL AquaPro </t>
    </r>
    <r>
      <rPr>
        <b/>
        <sz val="12"/>
        <rFont val="Arial"/>
        <family val="2"/>
      </rPr>
      <t>Bio</t>
    </r>
  </si>
  <si>
    <r>
      <t xml:space="preserve">TL BetaMaxx </t>
    </r>
    <r>
      <rPr>
        <b/>
        <sz val="12"/>
        <rFont val="Arial"/>
        <family val="2"/>
      </rPr>
      <t>Bio</t>
    </r>
  </si>
  <si>
    <r>
      <t xml:space="preserve">TL Solanum </t>
    </r>
    <r>
      <rPr>
        <b/>
        <sz val="12"/>
        <rFont val="Arial"/>
        <family val="2"/>
      </rPr>
      <t>Bio</t>
    </r>
  </si>
  <si>
    <t>* Preise exkl. gesetzlicher Mwst.; Preise gültig bis 31.07.2025</t>
  </si>
  <si>
    <r>
      <t xml:space="preserve">Frachtkosten 65€ (netto) pauschal je Lieferung bis 1000kg; </t>
    </r>
    <r>
      <rPr>
        <i/>
        <u/>
        <sz val="11"/>
        <rFont val="Arial"/>
        <family val="2"/>
      </rPr>
      <t>Kontakt:</t>
    </r>
    <r>
      <rPr>
        <i/>
        <sz val="11"/>
        <rFont val="Arial"/>
        <family val="2"/>
      </rPr>
      <t xml:space="preserve"> Büro: 02863/58109, office@humusbewegung.at; Beratung: Ingmar Prohaska: 0650/6780550 ingmar.prohaska@humusbewegung.at</t>
    </r>
  </si>
  <si>
    <t>HR 137 Gründecke mit Meliorationsrettich   H2O+    (Wasserschutz)</t>
  </si>
  <si>
    <t>HR 140 Gründecke Classic   IBM/Bienen</t>
  </si>
  <si>
    <t>HR 141 Gründecke Nematoden    IBM/Bienen</t>
  </si>
  <si>
    <t>HR 142 Gründecke  Universal  IBM/Bienen</t>
  </si>
  <si>
    <t>HR 143 Gründecke Spezial  IBM/Bienen</t>
  </si>
  <si>
    <t>k.A.</t>
  </si>
  <si>
    <t>HR 146 Gründecke Plus     IBM/Bienen</t>
  </si>
  <si>
    <t>Alexandrinerklee, Krumenklee, Inkarnatklee, Ramtillkraut, Phazelie</t>
  </si>
  <si>
    <t>HR 158 Biodiversitätsmischung   IBM/Bienen</t>
  </si>
  <si>
    <t xml:space="preserve">RWA Saatgutmischungen  </t>
  </si>
  <si>
    <t xml:space="preserve">Buchweizen, Phazelie, Alexandrinerklee, Gingellikraut, Kresse - Aussaat bis Mitte August - Absackung 25 kg </t>
  </si>
  <si>
    <t xml:space="preserve">AckerGrün Begrünungsmischung HumusPluss </t>
  </si>
  <si>
    <t>Rau-Sandhafer, Phazelie, Gingellikraut, Saatwicke, Persischer Klee, Alexandrinerklee, Ölrettich, Kresse, Leindotter,  Sonnenblume, Öllein - Aussaat bis Mitte August - Absackung 25 kg und 500 kg Big Bag</t>
  </si>
  <si>
    <t xml:space="preserve">Buchweizen, Ölrettich,  Alexandrinerklee -  Aussaat bis Mitte/Ende August - Absackung 25 kg </t>
  </si>
  <si>
    <t>Senf (nematodenresistente Sorte), Buchweizen, Alexandrinerklee,  Aussaat bis Mitte August 
Absackung  20 kg und 500 kg Big Bag</t>
  </si>
  <si>
    <t xml:space="preserve">Alexandrinerklee, Ölrettich, Phazelie, Senf, Sommerwicke, Kresse, Leindotter - Aussaat bis Ende August - Absackung 20 kg </t>
  </si>
  <si>
    <t>AckerGrün Begrünungsmischung KürbisPluss</t>
  </si>
  <si>
    <t>Süßlupine, Sandhafer, Phacelie, Ölrettich nemathodenhemmend, Öllein - Aussaat Juli bis August - Absackung 23 kg</t>
  </si>
  <si>
    <t>Überjährige Saatgutmischung ohne Gräseranteil - Serradella, Weißklee, Inkarnatklee, Phazelie, Ölrettich, Buchweizen, Winterwicke - Bei Begrünung jeder 2. Reihe Aussaatmenge: 12 - 30 kg/ha - Absackung  10 kg</t>
  </si>
  <si>
    <r>
      <t xml:space="preserve">AckerGrün WeingartenPluss </t>
    </r>
    <r>
      <rPr>
        <b/>
        <sz val="12"/>
        <rFont val="Arial"/>
        <family val="2"/>
      </rPr>
      <t>BIO</t>
    </r>
  </si>
  <si>
    <t xml:space="preserve">Serradella, Weißklee, Inkarnatklee, Phazelie, Ölrettich, Buchweizen, 10% Winterwicke; Bei Begrünung jeder 2. Reihe Aussaatmenge:  12 - 30 kg/ha - Aussaat Frühjahr oder bis Ende August - Absackung 10 kg </t>
  </si>
  <si>
    <t xml:space="preserve">AckerGrün Leguminosengemenge </t>
  </si>
  <si>
    <t>100 - 120kg/ha; Körnererbse, Sommerwicke, Ackerbohne, Rau-/Sandhafer, Futtererbse, Sojabohne - Aussaat bis Ende August - Absackung 20 kg</t>
  </si>
  <si>
    <t>100 - 120kg/ha; Saatplatterbse, Futtererbse, Körnererbse, Saatwicke, Ackerbohne, Rau-/Sandhafer - Aussaat Mitte/Ende August - Aussaat Mitte/Ende August - Absackung  20 kg</t>
  </si>
  <si>
    <t>Inkarnatklee, Rotklee, Luzerne, Esparsette, Phazelie, Leindotter, Weissklee - Aussaat Mitte August - Absackung 10 kg</t>
  </si>
  <si>
    <t>Luzerne, Rotklee, Weißklee, Hornklee,  Inkarnatklee, Esparsette - 6 insektenblütige überjährige Legumiosenarten + Malve, Leindotter und Senf ebenfalls insektenblütig - Aussaat bis Mitte August - Absackung  10 kg</t>
  </si>
  <si>
    <t>Inkarnatklee, Buchweizen, Luzerne, Rotklee, Weissklee, Futterkohl, Kresse, Malve, Phazelie, Fenchel, Koriander, Kümmel, Ringelblume, Sonnenblume, Hornklee, Leindotter, Senf - 17 Arten aus sieben Pflanzenfamilien - große Artenvielfalt und lockt somit zahlreiche Insekten an - geeignet als Bienentrachtbrache - Aussaat bis Mitte August - Absackung 10 kg</t>
  </si>
  <si>
    <t>Weißklee, Inkarnatklee, Alexandrinerklee, Perserklee - Absackung  10 kg; Untersaat 10 kg/ha, Reinsaat 20 kg/ha</t>
  </si>
  <si>
    <t>Engl. Raygras, Ital. Raygras, Weissklee, 10kg/ha Untersaat, 20kg/ha Reinsaat, Untersaat im Getreide u. Mais</t>
  </si>
  <si>
    <t xml:space="preserve">110kg/ha - Absackung 20 kg </t>
  </si>
  <si>
    <t>110kg/ha - Absackung 20 kg und 500 kg Big Bag</t>
  </si>
  <si>
    <t xml:space="preserve">130kg/ha - Absackung 20 kg </t>
  </si>
  <si>
    <t>130kg/ha - Absackung 20 kg und 500 kg Big Bag</t>
  </si>
  <si>
    <t>60 - 80kg/ha; Italienisches Raygras, Bastardraygras, Winterwicke Pannonisch , Inkarnatklee; hohe Futterleistung, überjährig - meist überwinternd. Aussaat bis Ende August - Absackung  20 kg konv. auch in 500 kg BIG BAG</t>
  </si>
  <si>
    <t>Bienenweide einjährig  "TÜBINGER Art"</t>
  </si>
  <si>
    <t xml:space="preserve">7 - 10kg/ha; Bestehend aus nacheinander blühenden Pflanzen -diese  Saatgutmischung bietet bis zum ersten Frost ein Blütenangebot für Honigbienen, Wildbienen und Hummeln - Aussaat nicht vor Mitte Mai - Absackung 1 kg/10 kg </t>
  </si>
  <si>
    <t>Bienenweide mehrjährig  "VEITSHÖCHHEIMER Art"</t>
  </si>
  <si>
    <t xml:space="preserve">7 - 10kg/ha; Bestehend aus 50 ein- und mehrjährigen Wild- bzw. Kulturarten; bietet ein ausdauerndes Blütenangebot für Bienen, Hummeln., Schmetterlinge und Nützlinge  - Aussaat nicht vor Mitte Mai - Absackung  1 kg/10 kg </t>
  </si>
  <si>
    <t xml:space="preserve">1-2kg/ha Übersaat bzw. Aussaat zusätzlich zur Neuansaat; Absackung 1 kg </t>
  </si>
  <si>
    <t xml:space="preserve">Artenreiche Weingarten Dauerbegrünung   -  Aussaat April -September gründlich durchmischen - Erosionsschutz Wein -  Absackung 10 kg </t>
  </si>
  <si>
    <t xml:space="preserve">Artenreiche Weingarten Dauerbegrünung   -  Eignung in trockenen Lagen  - Aussaat April -September gründlich durchmischen - Absackung 10 kg </t>
  </si>
  <si>
    <t>20-25kg/ha, für Nützlingsflächen und Blumenanlagen (UBB- ÖPUL 23), exkl. Versandkosten</t>
  </si>
  <si>
    <t xml:space="preserve">EUR/kg oder Packung sind unverbindlich empfohlene Verkaufspreise  inkl. der gesetzlichen UST., inkl. Fracht der Firma RWA Korneuburg AG  - Änderungen und  Irrtum vorbehalten.  </t>
  </si>
  <si>
    <t>179,7 - 209,65</t>
  </si>
  <si>
    <t>Gräserfreie Mischung für Biodiversitätsflächen (mehrjährig)</t>
  </si>
  <si>
    <t>168,2 - 210,25</t>
  </si>
  <si>
    <t>einjährige, reichblühende Pflanzengesellschaft zur Lebensraumgestalltung für Bienen und Insekten (Bienenweide)</t>
  </si>
  <si>
    <t>abfrostende Begrünungsmischung mit mehrschichtigem Wurzelhorizont und stark humusaufbauender Wirkung - Sommerwicke, Öllein, Sudangras, Alexandrinerklee, MUNGO, Meliorationsrettich, Saflor (bodenverbessernd)</t>
  </si>
  <si>
    <t>Wildackermischung zur Sommeransaat (Wildacker)</t>
  </si>
  <si>
    <t>Leguminosenfreie Mischung speziell für stark leguminosenbetonte Fruchtfolgen - Phazelia, MUNGO, Meliorationsrettich, Öllein, Sudangras, Saflor, Duringras (leguminosenfrei)</t>
  </si>
  <si>
    <t>130,5 - 214</t>
  </si>
  <si>
    <t>überj. Kleegrasmischung  kontrolliert ampferfrei in 100 g (überjähriges Kleegras)</t>
  </si>
  <si>
    <t>234,85 - 268,4</t>
  </si>
  <si>
    <t>schließt die nahrungslücke, abwechslungsreiche Äsung für alle Wildarten; UBB-tauglich; sorgt für Deckung (Wildacker)</t>
  </si>
  <si>
    <t>253,4 - 289,6</t>
  </si>
  <si>
    <t>bestes Futtergemenge, durch Spätsaatverträglichkeit und sehr guter Vorfruchtwirkung auch eine ideale Gründüngung (überj. Futterzwischenfrucht)</t>
  </si>
  <si>
    <t>artenreiche Wildäsungsmischung für Herbst und Winteräsung (Wildacker)</t>
  </si>
  <si>
    <t>Gründüngung und Futternutzung, Sommerwicke, Futtererbse, Sojabohne, Lupine Grünmais; Sudangras; Sonnenblume (Futterzwischenfrucht)</t>
  </si>
  <si>
    <t>abfrostende Begrünungsmischung mit höchster N-Fixierung und bester Bodenlockerung - Pigmentplatterbse, Sommerwicke, Alexandrinerklee, Futtererbse, Saflor, MUNGO, Sudangras, Meliorationsrettich (N-Sammler)</t>
  </si>
  <si>
    <t>55 - 110</t>
  </si>
  <si>
    <t>Buchweizen, nematodenfeindlicher Senf, Ölrettich (Spätsaat)</t>
  </si>
  <si>
    <t>RAPSFIT</t>
  </si>
  <si>
    <t>Rapsbegleitsaatenmischung (Raps-Begleitsaat)</t>
  </si>
  <si>
    <t>RAPSO-Blühmischung</t>
  </si>
  <si>
    <t>Vielfältige Blühmischung; breites Pollenangebot für Insekten; optische Aufwertung der Kulturlandschaft (überjährig, winterhart)</t>
  </si>
  <si>
    <t>Für DIV-Flächen Acker (ÖPUL Zuschlag); hohe Biodiversität durch mind. 30 verschiedene Kulturen (mehrjährig)</t>
  </si>
  <si>
    <t>Wassergüte FEIN</t>
  </si>
  <si>
    <t>Alexandriner- und Krumenklee, Phacelia, Ölrettich  (Wasserschutz)</t>
  </si>
  <si>
    <t>Wassergüte FRÜH</t>
  </si>
  <si>
    <t>Mungo, Phacelia, Alexandrinerklee und Krumenklee (Wasserschutz)</t>
  </si>
  <si>
    <t>Wassergüte RAU</t>
  </si>
  <si>
    <t>74,8-112,2</t>
  </si>
  <si>
    <t>Phacelia, Buchweizen, Ölrettich, Senf, auch auf rauhere Saatbeete (leguminosenfrei)</t>
  </si>
  <si>
    <t>UNDERCOVER (NEU)</t>
  </si>
  <si>
    <t>Duringras, Weißklee (niedrigwachsend) Spitzwegerich und Wegwarte - frei von Raygräsern!!! (Untersaatmischung)</t>
  </si>
  <si>
    <t>HYDROFIT (NEU)</t>
  </si>
  <si>
    <t>229,8 - 268,1</t>
  </si>
  <si>
    <t>Gräserfreie Mischung für Biodiversitätsflächen: (Blühmischung mehrjährig)</t>
  </si>
  <si>
    <t>FUTTERPROFI  EI</t>
  </si>
  <si>
    <t>156,3 - 208,4</t>
  </si>
  <si>
    <t>überj. Kleegrasmischung  kontrolliert ampferfrei in 100 g (Futterzwischenfrucht)</t>
  </si>
  <si>
    <t>spätsaatverträgliche Mischung, um für das Frühjahr eine gute Mulchauflage zu generieren - Buchweizen, Phazelia, Leindotter, Kresse, Ölrettich, Sareptasenf (Spätsaat)</t>
  </si>
  <si>
    <t>winterharte Begrünungsmischung für Reinsaat oder zum Mischen mit anderen Zwischenfrüchten - Grünschnittroggen, Winterfuttererbse, Winterrübse, Pannonische Wicke (winterhart)</t>
  </si>
  <si>
    <t>Luzerne-Impfstoff (TURBOALFA® flüssig)</t>
  </si>
  <si>
    <t>Beachten Sie hinsichtlich der Preisangaben die mit * gekennzeichneten Spalten bzw. Preisangaben  (siehe jeweilige Anmerkung zu *).</t>
  </si>
  <si>
    <t>Genauere Angaben bezüglich Sorten und deren Eigenschaften finden Sie bei Ihrem Landesproduktenhändler oder</t>
  </si>
  <si>
    <t>Meliorationsrettich*</t>
  </si>
  <si>
    <t>Kresse*</t>
  </si>
  <si>
    <t>Sudangras*</t>
  </si>
  <si>
    <t>Winterrübse*</t>
  </si>
  <si>
    <t>Sarepta-Senf*</t>
  </si>
  <si>
    <t>Winterfutterraps*</t>
  </si>
  <si>
    <t>Sommerfutterraps*</t>
  </si>
  <si>
    <t>Abessinischer Senf*</t>
  </si>
  <si>
    <t>Steinklee gelb*</t>
  </si>
  <si>
    <t>Zichorie*</t>
  </si>
  <si>
    <t>Gelbklee*</t>
  </si>
  <si>
    <t>Hornklee*</t>
  </si>
  <si>
    <t>Bitterlupine*</t>
  </si>
  <si>
    <t>Kulturmalve*</t>
  </si>
  <si>
    <t>Ringelblume*</t>
  </si>
  <si>
    <t>Schwedenklee*</t>
  </si>
  <si>
    <t>Spitzwegerich*</t>
  </si>
  <si>
    <t>Zwerghirse*</t>
  </si>
  <si>
    <r>
      <t xml:space="preserve">Bastardraygras </t>
    </r>
    <r>
      <rPr>
        <b/>
        <sz val="12"/>
        <rFont val="Arial"/>
        <family val="2"/>
      </rPr>
      <t>BIO</t>
    </r>
  </si>
  <si>
    <r>
      <t xml:space="preserve">Buchweizen Handelsware </t>
    </r>
    <r>
      <rPr>
        <b/>
        <sz val="12"/>
        <rFont val="Arial"/>
        <family val="2"/>
      </rPr>
      <t>BIO</t>
    </r>
  </si>
  <si>
    <r>
      <t xml:space="preserve">Buchweizen Bamby </t>
    </r>
    <r>
      <rPr>
        <b/>
        <sz val="12"/>
        <rFont val="Arial"/>
        <family val="2"/>
      </rPr>
      <t>BIO</t>
    </r>
    <r>
      <rPr>
        <sz val="12"/>
        <rFont val="Arial"/>
        <family val="2"/>
      </rPr>
      <t xml:space="preserve"> "SLK"</t>
    </r>
  </si>
  <si>
    <r>
      <t xml:space="preserve">Hirse </t>
    </r>
    <r>
      <rPr>
        <b/>
        <sz val="12"/>
        <rFont val="Arial"/>
        <family val="2"/>
      </rPr>
      <t>BIO</t>
    </r>
  </si>
  <si>
    <r>
      <t xml:space="preserve">Persischer Klee </t>
    </r>
    <r>
      <rPr>
        <b/>
        <sz val="12"/>
        <rFont val="Arial"/>
        <family val="2"/>
      </rPr>
      <t>BIO</t>
    </r>
  </si>
  <si>
    <r>
      <t xml:space="preserve">Saatplatterbse </t>
    </r>
    <r>
      <rPr>
        <b/>
        <sz val="12"/>
        <rFont val="Arial"/>
        <family val="2"/>
      </rPr>
      <t>BIO</t>
    </r>
  </si>
  <si>
    <r>
      <t xml:space="preserve">Saatwicke </t>
    </r>
    <r>
      <rPr>
        <b/>
        <sz val="12"/>
        <rFont val="Arial"/>
        <family val="2"/>
      </rPr>
      <t>BIO</t>
    </r>
  </si>
  <si>
    <r>
      <t xml:space="preserve">Waldstaudenroggen </t>
    </r>
    <r>
      <rPr>
        <b/>
        <sz val="12"/>
        <rFont val="Arial"/>
        <family val="2"/>
      </rPr>
      <t>BIO</t>
    </r>
    <r>
      <rPr>
        <sz val="12"/>
        <rFont val="Arial"/>
        <family val="2"/>
      </rPr>
      <t xml:space="preserve"> "SLK"</t>
    </r>
  </si>
  <si>
    <t>Menge
Reinsaat je ha</t>
  </si>
  <si>
    <r>
      <t xml:space="preserve">Der Bereich Begrünungstabellen 2025 enthält eine </t>
    </r>
    <r>
      <rPr>
        <b/>
        <u/>
        <sz val="11"/>
        <color theme="1"/>
        <rFont val="Arial"/>
        <family val="2"/>
      </rPr>
      <t>Liste von Einzelkulturen und Begrünungsmischungen</t>
    </r>
    <r>
      <rPr>
        <sz val="11"/>
        <color theme="1"/>
        <rFont val="Arial"/>
        <family val="2"/>
      </rPr>
      <t xml:space="preserve"> mit einer Kurzbeschreibung</t>
    </r>
  </si>
  <si>
    <r>
      <t xml:space="preserve">Saatwicke / Sommerwicke </t>
    </r>
    <r>
      <rPr>
        <b/>
        <sz val="12"/>
        <rFont val="Arial"/>
        <family val="2"/>
      </rPr>
      <t>BIO</t>
    </r>
  </si>
  <si>
    <t>Winterrübsen*</t>
  </si>
  <si>
    <t>https://www.ages.at/pflanze/saat-und-pflanzgut/biosaatgut-datenbank#c18154</t>
  </si>
  <si>
    <t>Name der Mischung</t>
  </si>
  <si>
    <r>
      <rPr>
        <b/>
        <sz val="14"/>
        <rFont val="Arial"/>
        <family val="2"/>
      </rPr>
      <t xml:space="preserve">€/kg 
</t>
    </r>
    <r>
      <rPr>
        <sz val="14"/>
        <rFont val="Arial"/>
        <family val="2"/>
      </rPr>
      <t xml:space="preserve">(oder Pkg.) </t>
    </r>
  </si>
  <si>
    <r>
      <t xml:space="preserve">Saatplatterbse </t>
    </r>
    <r>
      <rPr>
        <b/>
        <sz val="12"/>
        <color theme="1"/>
        <rFont val="Arial"/>
        <family val="2"/>
      </rPr>
      <t xml:space="preserve">BIO </t>
    </r>
  </si>
  <si>
    <t>Alexandrinerklee, Phazelie, Gingellikraut  - ohne Kreuzblütler - Aussaat  bis Mitte August
- Absackung 12 kg und 500 kg Big Bag</t>
  </si>
  <si>
    <t xml:space="preserve">Alexandrinerklee, Ölrettich, Phazelie, Senf, Sommerwicke, Kresse, Leindotter - Aussaat bis Ende August
- Absackung 20 kg </t>
  </si>
  <si>
    <t xml:space="preserve">30 - 50kg/ha; Engl. Raygras, Wiesenrispe, Ausläufer-Rotschwingel, Horst-Rotschwingel, Schafschwingel - auch für Lagen, in denen Spinnmilben auftreten - für Obstgartendauerbegrünung bestens geeignet -
Aussaat  bis Ende September - Absackung 10 kg </t>
  </si>
  <si>
    <t>Buchweizen, Winterwicke, Süßlupine, Sommerfutterraps, Rotklee, Schwedenklee, Inkarnatklee, Luzerne, Alexandrinerklee, Phazelie, Serradella, Futterkohl, Malve, Fenchel, Kümmel, Leindotter, Ringelblume - enthält 17 verschiedene ein- und mehrjährige Blühkomponenten aus sieben Pflanzenfamilien, damit der Bestand auch einige Jahre einen wertvollen Lebensraum für Bienen aber auch sämtliche Insekten und Niederwild bietet - Aussaat bis Mitte August - Absackung 10 kg</t>
  </si>
  <si>
    <t>Sommerwicke, 20% Alexandrinerklee, Perserklee, Gingellikraut, Öllein, 10kg/ha, Begleitsaat im Winterraps</t>
  </si>
  <si>
    <t xml:space="preserve">Einjähriges (Westerw.)  Raygras, Bastardraygras, Alexandrinerklee, Persischer Klee - ÖAG-kontrollierte DIE SAAT Qualitätssaatgutmischung dh. kontrolliert ampferfrei in 100 g -  Absackung 10 kg </t>
  </si>
  <si>
    <t>FUTTERPROFI  EI 
überjähriges Kleegras</t>
  </si>
  <si>
    <r>
      <t xml:space="preserve">Sofern nicht anders angeführt stellen die Angaben € / kg oder Packung unverbindlich empfohlene </t>
    </r>
    <r>
      <rPr>
        <b/>
        <sz val="11"/>
        <rFont val="Arial"/>
        <family val="2"/>
      </rPr>
      <t>Verkaufspreise inkl. MwSt., exkl. Fracht dar</t>
    </r>
    <r>
      <rPr>
        <sz val="11"/>
        <rFont val="Arial"/>
        <family val="2"/>
      </rPr>
      <t xml:space="preserve">  - Änderungen und  Irrtum vorbehalten.</t>
    </r>
  </si>
  <si>
    <r>
      <t xml:space="preserve">online unter: </t>
    </r>
    <r>
      <rPr>
        <b/>
        <sz val="11"/>
        <rFont val="Arial"/>
        <family val="2"/>
      </rPr>
      <t>https://www.agrana.com</t>
    </r>
    <r>
      <rPr>
        <sz val="11"/>
        <rFont val="Arial"/>
        <family val="2"/>
      </rPr>
      <t>;</t>
    </r>
    <r>
      <rPr>
        <b/>
        <sz val="11"/>
        <rFont val="Arial"/>
        <family val="2"/>
      </rPr>
      <t xml:space="preserve"> https:/www.diesaat.at</t>
    </r>
    <r>
      <rPr>
        <sz val="11"/>
        <rFont val="Arial"/>
        <family val="2"/>
      </rPr>
      <t xml:space="preserve">; </t>
    </r>
    <r>
      <rPr>
        <b/>
        <sz val="11"/>
        <rFont val="Arial"/>
        <family val="2"/>
      </rPr>
      <t>https://www.hesa.co.at/</t>
    </r>
    <r>
      <rPr>
        <sz val="11"/>
        <rFont val="Arial"/>
        <family val="2"/>
      </rPr>
      <t xml:space="preserve">; </t>
    </r>
    <r>
      <rPr>
        <b/>
        <sz val="11"/>
        <rFont val="Arial"/>
        <family val="2"/>
      </rPr>
      <t>https://www.saatbau.com (Saatbau Linz); https://www.saatbau.at (Kärntner Saatbau) und</t>
    </r>
    <r>
      <rPr>
        <sz val="11"/>
        <rFont val="Arial"/>
        <family val="2"/>
      </rPr>
      <t xml:space="preserve"> </t>
    </r>
    <r>
      <rPr>
        <b/>
        <sz val="11"/>
        <rFont val="Arial"/>
        <family val="2"/>
      </rPr>
      <t>https://www.dsv-saaten.de</t>
    </r>
    <r>
      <rPr>
        <sz val="11"/>
        <rFont val="Arial"/>
        <family val="2"/>
      </rPr>
      <t xml:space="preserve"> (bzw. office@humusbewegung.at)</t>
    </r>
  </si>
  <si>
    <t>Düngerart:</t>
  </si>
  <si>
    <t>leicht</t>
  </si>
  <si>
    <t>Löslichkeit</t>
  </si>
  <si>
    <r>
      <rPr>
        <sz val="20"/>
        <color theme="1"/>
        <rFont val="Arial"/>
        <family val="2"/>
      </rPr>
      <t xml:space="preserve">* </t>
    </r>
    <r>
      <rPr>
        <sz val="12"/>
        <color theme="1"/>
        <rFont val="Arial"/>
        <family val="2"/>
      </rPr>
      <t xml:space="preserve">gem. österreichischem Verzeichnis der allgemeingültigen Genehmigungen für die Verwendung von nicht-biologischem Pflanzenvermehrungsmaterial für das Jahr 2025. 
</t>
    </r>
    <r>
      <rPr>
        <b/>
        <u/>
        <sz val="12"/>
        <color theme="1"/>
        <rFont val="Arial"/>
        <family val="2"/>
      </rPr>
      <t>Erreichbar unter folgendem Link:</t>
    </r>
  </si>
  <si>
    <r>
      <rPr>
        <sz val="22"/>
        <rFont val="Arial"/>
        <family val="2"/>
      </rPr>
      <t>◄</t>
    </r>
    <r>
      <rPr>
        <sz val="11"/>
        <rFont val="Arial"/>
        <family val="2"/>
      </rPr>
      <t xml:space="preserve">
</t>
    </r>
    <r>
      <rPr>
        <sz val="12"/>
        <rFont val="Arial"/>
        <family val="2"/>
      </rPr>
      <t>ZURÜCK ZUR
STARTSEITE /
BEDIENUNGSANLEITUNG</t>
    </r>
  </si>
  <si>
    <r>
      <rPr>
        <sz val="12"/>
        <rFont val="Arial"/>
        <family val="2"/>
      </rPr>
      <t>ZURÜCK ZUM
BEGRÜNUNGSRECHNER</t>
    </r>
    <r>
      <rPr>
        <sz val="11"/>
        <rFont val="Arial"/>
        <family val="2"/>
      </rPr>
      <t xml:space="preserve">
</t>
    </r>
    <r>
      <rPr>
        <sz val="12"/>
        <rFont val="Arial"/>
        <family val="2"/>
      </rPr>
      <t>BIO</t>
    </r>
    <r>
      <rPr>
        <sz val="11"/>
        <rFont val="Arial"/>
        <family val="2"/>
      </rPr>
      <t xml:space="preserve">
</t>
    </r>
    <r>
      <rPr>
        <sz val="22"/>
        <rFont val="Arial"/>
        <family val="2"/>
      </rPr>
      <t>◄</t>
    </r>
  </si>
  <si>
    <t>Menge in kg/ha</t>
  </si>
  <si>
    <t>20</t>
  </si>
  <si>
    <t>60</t>
  </si>
  <si>
    <t>100</t>
  </si>
  <si>
    <t>Buchweizen, nematodenfeindlicher Senf, Ölrettich</t>
  </si>
  <si>
    <t xml:space="preserve">Alexandriner- und Krumenklee, Phacelia, Ölrettich </t>
  </si>
  <si>
    <t>10</t>
  </si>
  <si>
    <t>Alexandrinerklee, Perserklee, Inkarnatklee, Öllein, MUNGO, Linse</t>
  </si>
  <si>
    <t>Bastardraygras, Alexandrinerklee, einjähriges Raygras, italienisches Raygras, Inkarnatklee</t>
  </si>
  <si>
    <t>Sommerwicke, Öllein, Sudangras, Alexandrinerklee, MUNGO, Meliorationsrettich, Saflor</t>
  </si>
  <si>
    <t>Phazelia, MUNGO, Meliorationsrettich, Öllein, Sudangras, Saflor, Duringras</t>
  </si>
  <si>
    <t>Bastardraygras, Inkarnatklee, pannonische Wicke</t>
  </si>
  <si>
    <t>Pigmentplatterbse, Sommerwicke, Alexandrinerklee, Futtererbse, Saflor, MUNGO, Sudangras, Meliorationsrettich</t>
  </si>
  <si>
    <t>Phacelia, Buchweizen, Ölrettich, Senf</t>
  </si>
  <si>
    <t>UNDERCOVER</t>
  </si>
  <si>
    <t>HYDROFIT</t>
  </si>
  <si>
    <t>Hybridsudangras, Phazelia, Mungo, Perserklee, Öllein, Leindotter</t>
  </si>
  <si>
    <t>FUTTERPROFI  EI überjähriges Kleegras</t>
  </si>
  <si>
    <t>Saatbau Linz</t>
  </si>
  <si>
    <r>
      <t xml:space="preserve">AckerGrün Begrünungsmischung ÖpulPluss </t>
    </r>
    <r>
      <rPr>
        <b/>
        <sz val="11"/>
        <rFont val="Arial"/>
        <family val="2"/>
      </rPr>
      <t>BIO</t>
    </r>
  </si>
  <si>
    <r>
      <t xml:space="preserve">AckerGrün WeingartenPluss  </t>
    </r>
    <r>
      <rPr>
        <b/>
        <sz val="11"/>
        <rFont val="Arial"/>
        <family val="2"/>
      </rPr>
      <t>BIO</t>
    </r>
  </si>
  <si>
    <t>AckerGrün Leguminosengemenge BIO</t>
  </si>
  <si>
    <t>40% Sommerwicke, 20% Alexandrinerklee, 20% Perserklee, 10% Gingellikraut, 10% Oellein, 10kg/ha, Begleitsaat im Winterraps, für ÖPUL 2023</t>
  </si>
  <si>
    <r>
      <t xml:space="preserve">WiesenGrün Landsberger Gemenge </t>
    </r>
    <r>
      <rPr>
        <b/>
        <sz val="11"/>
        <rFont val="Arial"/>
        <family val="2"/>
      </rPr>
      <t xml:space="preserve">BIO </t>
    </r>
    <r>
      <rPr>
        <sz val="11"/>
        <rFont val="Arial"/>
        <family val="2"/>
      </rPr>
      <t>ST 1</t>
    </r>
  </si>
  <si>
    <r>
      <t xml:space="preserve">AckerGrün Begrünungsmischung BioPluss </t>
    </r>
    <r>
      <rPr>
        <b/>
        <sz val="11"/>
        <rFont val="Arial"/>
        <family val="2"/>
      </rPr>
      <t>BIO</t>
    </r>
  </si>
  <si>
    <t>70% Alexandrinerklee, 15% Phazelie, 15% Gingellikraut</t>
  </si>
  <si>
    <t>70% Buchweizen, 10% Phazelie, 20% Alexandrinerklee</t>
  </si>
  <si>
    <t>35% Rau-Sandhafer, 10% Meliorationsrettich, 45% Ölrettich, 10% Sareptasenf</t>
  </si>
  <si>
    <t>58% Buchweizen, 12% Phazelie, 20% Alexandrinerklee, 8% Gingellikraut, 2% Kresse</t>
  </si>
  <si>
    <t>24% Rau-Sandhafer, 4% Phazelie, 4% Gingellikraut, 22% Saatwicke, 8% Persischer Klee, 12% Alexandrinerklee, 8% Ölrettich, 4% Kresse, 4% Leindotter, 2% Sonnenblume, 8% Öllein</t>
  </si>
  <si>
    <t>70% Buchweizen , 10% Ölrettich,  20% Alexandrinerklee</t>
  </si>
  <si>
    <t>10% Senf (nematodenresistente Sorte), 70% Buchweizen, 20% Alexandrinerklee</t>
  </si>
  <si>
    <t>30% Alexandrinerklee, 20% Ölrettich, 15% Phazelie, 15% Senf, 15% Sommerwicke, 2,5% Kresse, 2,5 Leindotter</t>
  </si>
  <si>
    <t>20% Serradella, 6,7% Weißklee, 26,6% Inkarnatklee, 6,7% Phazelie, 10% Ölrettich, 20% Buchweizen, 10% Winterwicke</t>
  </si>
  <si>
    <t>100 - 120kg/ha; 20% Saatplatterbse, 10% Futtererbse, 35% Körnererbse, 20% Saatwicke, 5% Ackerbohne, 10% Rau-/Sandhafer</t>
  </si>
  <si>
    <t>15% Luzerne, 15% Rotklee, 15% Weißklee, 5% Hornklee, 24,5% Inkarnatklee, 20% Esparsette,  2% Malve, 2% Leindotter, 1,5% Senf</t>
  </si>
  <si>
    <t>25% buchweizen, 16% Winterwicke, 11,5% Süßlupine, 11% Sommerfutterraps, 9% Rotklee, 6% Schwedenklee, 5% Inkarnatklee, 5% Luzerne, 4% Alexandrinerklee, 2% Phazelie, 1,5% Serradella, 1% Futterkohl, 1% Malve, 0,5% Fenchel, 0,5% Kümmel, 0,5% Leindotter, 0,5% Ringelblume</t>
  </si>
  <si>
    <t>15% Weißklee, 30% Inkarnatklee, 30% Alexandrinerklee, 25% Perserklee</t>
  </si>
  <si>
    <t>45% Engl. Raygras, 45% Ital. Raygras, 10% Weissklee, 10kg/ha Untersaat, 20kg/ha Reinsaat</t>
  </si>
  <si>
    <t>Einjähriges (Westerw.)  Raygras, Bastardraygras, Alexandrinerklee, Persischer Klee</t>
  </si>
  <si>
    <t>60 - 80kg/ha; Italienisches Raygras, Bastardraygras, Winterwicke Pannonisch , Inkarnatklee</t>
  </si>
  <si>
    <t xml:space="preserve">Buchweizen </t>
  </si>
  <si>
    <t>x</t>
  </si>
  <si>
    <r>
      <t xml:space="preserve">Buchweizen, Esparsette, Futterzichorie, Gelbklee, Hornklee, Inkarnatklee, </t>
    </r>
    <r>
      <rPr>
        <b/>
        <sz val="11"/>
        <color rgb="FFFF0000"/>
        <rFont val="Arial"/>
        <family val="2"/>
      </rPr>
      <t>Koriander, Kümmel</t>
    </r>
    <r>
      <rPr>
        <sz val="11"/>
        <color theme="1"/>
        <rFont val="Arial"/>
        <family val="2"/>
      </rPr>
      <t>, Leindotter, Luzerne, Öllein, Phazelia, Rotklee, Senf, Spitzwegerich, Weißklee</t>
    </r>
  </si>
  <si>
    <t>Schwarzsamen/Ramtilkraut/Gingellikraut/Mungo</t>
  </si>
  <si>
    <t>Duringras</t>
  </si>
  <si>
    <r>
      <t xml:space="preserve">Schwedenklee, Rotklee, Luzerne, Inkarnatklee, Weißklee, Bokhara/ Steinklee, Gelbklee, Perko, </t>
    </r>
    <r>
      <rPr>
        <b/>
        <sz val="11"/>
        <color rgb="FFFF0000"/>
        <rFont val="Arial"/>
        <family val="2"/>
      </rPr>
      <t>Koriander</t>
    </r>
    <r>
      <rPr>
        <sz val="11"/>
        <color theme="1"/>
        <rFont val="Arial"/>
        <family val="2"/>
      </rPr>
      <t xml:space="preserve">, Senf, </t>
    </r>
    <r>
      <rPr>
        <b/>
        <sz val="11"/>
        <color rgb="FFFF0000"/>
        <rFont val="Arial"/>
        <family val="2"/>
      </rPr>
      <t>Markstammkohl</t>
    </r>
    <r>
      <rPr>
        <sz val="11"/>
        <color theme="1"/>
        <rFont val="Arial"/>
        <family val="2"/>
      </rPr>
      <t xml:space="preserve">, </t>
    </r>
    <r>
      <rPr>
        <b/>
        <sz val="11"/>
        <color rgb="FFFF0000"/>
        <rFont val="Arial"/>
        <family val="2"/>
      </rPr>
      <t>Stoppelrübe</t>
    </r>
    <r>
      <rPr>
        <sz val="11"/>
        <color theme="1"/>
        <rFont val="Arial"/>
        <family val="2"/>
      </rPr>
      <t>, Buchweizen, Esparsette, Sonnenblume, Lein, Malve,</t>
    </r>
    <r>
      <rPr>
        <b/>
        <sz val="11"/>
        <color rgb="FFFF0000"/>
        <rFont val="Arial"/>
        <family val="2"/>
      </rPr>
      <t xml:space="preserve"> Kümmel</t>
    </r>
    <r>
      <rPr>
        <sz val="11"/>
        <color theme="1"/>
        <rFont val="Arial"/>
        <family val="2"/>
      </rPr>
      <t xml:space="preserve">, Sorghum, </t>
    </r>
    <r>
      <rPr>
        <b/>
        <sz val="11"/>
        <color rgb="FFFF0000"/>
        <rFont val="Arial"/>
        <family val="2"/>
      </rPr>
      <t>Gelbhirse</t>
    </r>
    <r>
      <rPr>
        <sz val="11"/>
        <color theme="1"/>
        <rFont val="Arial"/>
        <family val="2"/>
      </rPr>
      <t>, Leindotter</t>
    </r>
  </si>
  <si>
    <r>
      <t xml:space="preserve">Sommerwicke, Futtererbse, </t>
    </r>
    <r>
      <rPr>
        <b/>
        <sz val="11"/>
        <color rgb="FFFF0000"/>
        <rFont val="Arial"/>
        <family val="2"/>
      </rPr>
      <t>Sojabohne</t>
    </r>
    <r>
      <rPr>
        <sz val="11"/>
        <color theme="1"/>
        <rFont val="Arial"/>
        <family val="2"/>
      </rPr>
      <t xml:space="preserve">, Lupine, </t>
    </r>
    <r>
      <rPr>
        <b/>
        <sz val="11"/>
        <color rgb="FFFF0000"/>
        <rFont val="Arial"/>
        <family val="2"/>
      </rPr>
      <t>Grünmais</t>
    </r>
    <r>
      <rPr>
        <sz val="11"/>
        <color theme="1"/>
        <rFont val="Arial"/>
        <family val="2"/>
      </rPr>
      <t>; Sudangras; Sonnenblume</t>
    </r>
  </si>
  <si>
    <t>Lupine</t>
  </si>
  <si>
    <r>
      <t xml:space="preserve">Duringras, Weißklee, Spitzwegerich, </t>
    </r>
    <r>
      <rPr>
        <b/>
        <sz val="11"/>
        <color rgb="FFFF0000"/>
        <rFont val="Arial"/>
        <family val="2"/>
      </rPr>
      <t>Wegwarte</t>
    </r>
  </si>
  <si>
    <r>
      <rPr>
        <b/>
        <sz val="12"/>
        <color rgb="FFFF0000"/>
        <rFont val="Arial"/>
        <family val="2"/>
      </rPr>
      <t>33% Süßlupine</t>
    </r>
    <r>
      <rPr>
        <sz val="12"/>
        <rFont val="Arial"/>
        <family val="2"/>
      </rPr>
      <t>, 28% Sandhafer, 13% Phacelie, 13% Ölrettich nemathodenhemmend, 13% Öllein</t>
    </r>
  </si>
  <si>
    <r>
      <rPr>
        <b/>
        <sz val="12"/>
        <color rgb="FFFF0000"/>
        <rFont val="Arial"/>
        <family val="2"/>
      </rPr>
      <t>20% Serradella</t>
    </r>
    <r>
      <rPr>
        <sz val="12"/>
        <rFont val="Arial"/>
        <family val="2"/>
      </rPr>
      <t>, 6,7% Weißklee, 26,6% Inkarnatklee, 6,7% Phazelie, 10% Ölrettich, 20% Buchweizen, 10% Winterwicke</t>
    </r>
  </si>
  <si>
    <t>Seradella</t>
  </si>
  <si>
    <r>
      <t xml:space="preserve">100 - 120kg/ha; </t>
    </r>
    <r>
      <rPr>
        <b/>
        <sz val="12"/>
        <color rgb="FFFF0000"/>
        <rFont val="Arial"/>
        <family val="2"/>
      </rPr>
      <t>45% Körnererbse</t>
    </r>
    <r>
      <rPr>
        <sz val="12"/>
        <rFont val="Arial"/>
        <family val="2"/>
      </rPr>
      <t xml:space="preserve">, 20% Sommerwicke, 15% Ackerbohne, 10% Rau-/Sandhafer, 5% Futtererbse, </t>
    </r>
    <r>
      <rPr>
        <b/>
        <sz val="12"/>
        <color rgb="FFFF0000"/>
        <rFont val="Arial"/>
        <family val="2"/>
      </rPr>
      <t>5% Sojabohne</t>
    </r>
  </si>
  <si>
    <t>Körnererbse</t>
  </si>
  <si>
    <t>Sojabohne</t>
  </si>
  <si>
    <t>29% Inkarnatklee, 26% Rotklee, 26% Luzerne, 11% Esparsette, 5% Phazelie, 2% Leindotter, 1% Weissklee</t>
  </si>
  <si>
    <t>Malve</t>
  </si>
  <si>
    <r>
      <t xml:space="preserve">11,7% Inkarnatklee, 10% Buchweizen, 10% Luzerne, 10% Rotklee, 8,4% Weissklee, 6,7% Futterkohl, 6,7% Kresse, 6,6% Malve, 6,6% Phazelie, </t>
    </r>
    <r>
      <rPr>
        <b/>
        <sz val="12"/>
        <color rgb="FFFF0000"/>
        <rFont val="Arial"/>
        <family val="2"/>
      </rPr>
      <t>3,4% Fenchel, 3,4% Koriander, 3,4% Kümmel</t>
    </r>
    <r>
      <rPr>
        <sz val="12"/>
        <rFont val="Arial"/>
        <family val="2"/>
      </rPr>
      <t>, 3,4% Ringelblume, 3,4% Sonnenblume, 3,3% Hornklee, 1,5% Leindotter, 1,5% Senf</t>
    </r>
  </si>
  <si>
    <t>Kümmel</t>
  </si>
  <si>
    <t>Koriander</t>
  </si>
  <si>
    <t>Wegwarte</t>
  </si>
  <si>
    <t>Stoppelrübe</t>
  </si>
  <si>
    <t>Markstammkohl</t>
  </si>
  <si>
    <t>Gelbhirse</t>
  </si>
  <si>
    <t>Grünmais</t>
  </si>
  <si>
    <t>Fenchel</t>
  </si>
  <si>
    <t>16</t>
  </si>
  <si>
    <t>13</t>
  </si>
  <si>
    <t xml:space="preserve"> </t>
  </si>
  <si>
    <t>Studentenblume</t>
  </si>
  <si>
    <t>TL BioMax Bio</t>
  </si>
  <si>
    <t>TL AquaPro Bio</t>
  </si>
  <si>
    <t>TL BetaMaxx Bio</t>
  </si>
  <si>
    <t>TL Solanum Bio</t>
  </si>
  <si>
    <t>Fläche in ha:</t>
  </si>
  <si>
    <t>AckerGrün Begrünungsmischung BioPluss BIO</t>
  </si>
  <si>
    <t>AckerGrün Begrünungsmischung ÖpulPluss BIO</t>
  </si>
  <si>
    <t>AckerGrün WeingartenPluss  BIO</t>
  </si>
  <si>
    <t>WiesenGrün Landsberger Gemenge BIO ST 1</t>
  </si>
  <si>
    <t>DSV</t>
  </si>
  <si>
    <t>HESA</t>
  </si>
  <si>
    <t>Agrana</t>
  </si>
  <si>
    <t>Kosten gesamt</t>
  </si>
  <si>
    <t>Mischungsbezeichnung</t>
  </si>
  <si>
    <t>Kosten je ha</t>
  </si>
  <si>
    <t>Ölrettich, Saatwicke, Kresse, Sandhafer, Buchweizen, Phacelia, Ramtillkraut</t>
  </si>
  <si>
    <t>Ölrettich, Linse, Saatwicke, Kresse, Buchweizen, Phacelia, Ramtillkraut</t>
  </si>
  <si>
    <t/>
  </si>
  <si>
    <t>Zukaufsmenge in kg</t>
  </si>
  <si>
    <t>Zukaufsmenge der Einzelkomponente in kg</t>
  </si>
  <si>
    <t>Kosten für Fertigmischung</t>
  </si>
  <si>
    <t>Kosten der Fertigmischung je kg</t>
  </si>
  <si>
    <t>resultierende Kosten je ha</t>
  </si>
  <si>
    <t>empfohlene Saatstärke des Anbieters in kg/ha</t>
  </si>
  <si>
    <t>Reinsaatmenge</t>
  </si>
  <si>
    <t>resultierende Menge je ha in kg/ha</t>
  </si>
  <si>
    <t>Eigene Kultur 1</t>
  </si>
  <si>
    <t>Eigene Kultur 2</t>
  </si>
  <si>
    <t>Eigene Kultur 3</t>
  </si>
  <si>
    <t>Spalte1</t>
  </si>
  <si>
    <r>
      <t xml:space="preserve">Felderbse, Sommerwicke, Serradella, Alexandrinerklee, </t>
    </r>
    <r>
      <rPr>
        <sz val="11"/>
        <color rgb="FFFF0000"/>
        <rFont val="Arial"/>
        <family val="2"/>
      </rPr>
      <t>Sparriger Klee</t>
    </r>
    <r>
      <rPr>
        <sz val="11"/>
        <color theme="1"/>
        <rFont val="Arial"/>
        <family val="2"/>
      </rPr>
      <t>, Rauhafer, Ölrettich, Sonnenblume, Öllein, Blaue Lupine</t>
    </r>
  </si>
  <si>
    <t>Serradella</t>
  </si>
  <si>
    <t xml:space="preserve"> Sparriger Klee</t>
  </si>
  <si>
    <t>Sparriger Klee</t>
  </si>
  <si>
    <t>7er Mischung</t>
  </si>
  <si>
    <t>winterhart + abfrostend</t>
  </si>
  <si>
    <t>Kreuzblütlerfrei</t>
  </si>
  <si>
    <t>Bienenmischung - früher Anbau</t>
  </si>
  <si>
    <t>Bienenmischung später Anbau</t>
  </si>
  <si>
    <t>Standardmischung</t>
  </si>
  <si>
    <t>Wurzelstark</t>
  </si>
  <si>
    <t>September</t>
  </si>
  <si>
    <t>k.A</t>
  </si>
  <si>
    <t>Boden-Booster</t>
  </si>
  <si>
    <t>Spalte2</t>
  </si>
  <si>
    <t>Spalte3</t>
  </si>
  <si>
    <t>Spalte4</t>
  </si>
  <si>
    <t>Spalte5</t>
  </si>
  <si>
    <t>Spalte6</t>
  </si>
  <si>
    <t>Spalte7</t>
  </si>
  <si>
    <t>Spalte8</t>
  </si>
  <si>
    <t>Spalte9</t>
  </si>
  <si>
    <t>Spalte10</t>
  </si>
  <si>
    <t>Spalte11</t>
  </si>
  <si>
    <t>Spalte12</t>
  </si>
  <si>
    <t>Spalte13</t>
  </si>
  <si>
    <t>Spalte14</t>
  </si>
  <si>
    <t>Spalte15</t>
  </si>
  <si>
    <t>Spalte16</t>
  </si>
  <si>
    <t>Spalte17</t>
  </si>
  <si>
    <t>Spalte18</t>
  </si>
  <si>
    <t>Spalte19</t>
  </si>
  <si>
    <t>Spalte20</t>
  </si>
  <si>
    <t>Spalte21</t>
  </si>
  <si>
    <t>Spalte22</t>
  </si>
  <si>
    <t>Spalte23</t>
  </si>
  <si>
    <t>Spalte24</t>
  </si>
  <si>
    <t>Spalte25</t>
  </si>
  <si>
    <t>Spalte26</t>
  </si>
  <si>
    <t>Spalte27</t>
  </si>
  <si>
    <t>Spalte28</t>
  </si>
  <si>
    <t>Spalte29</t>
  </si>
  <si>
    <t>Spalte30</t>
  </si>
  <si>
    <t>Spalte31</t>
  </si>
  <si>
    <t>Spalte32</t>
  </si>
  <si>
    <t>Spalte33</t>
  </si>
  <si>
    <t>Spalte34</t>
  </si>
  <si>
    <t>Spalte35</t>
  </si>
  <si>
    <t>Spalte36</t>
  </si>
  <si>
    <t>Spalte37</t>
  </si>
  <si>
    <t>Spalte38</t>
  </si>
  <si>
    <t>Spalte39</t>
  </si>
  <si>
    <t>Spalte40</t>
  </si>
  <si>
    <t>Spalte41</t>
  </si>
  <si>
    <t>Spalte42</t>
  </si>
  <si>
    <t>Spalte43</t>
  </si>
  <si>
    <t>Spalte44</t>
  </si>
  <si>
    <t>Spalte45</t>
  </si>
  <si>
    <t>Spalte46</t>
  </si>
  <si>
    <t>Spalte47</t>
  </si>
  <si>
    <t>Spalte48</t>
  </si>
  <si>
    <t>Spalte49</t>
  </si>
  <si>
    <t>Spalte50</t>
  </si>
  <si>
    <t>Spalte51</t>
  </si>
  <si>
    <t>Spalte52</t>
  </si>
  <si>
    <t>Spalte53</t>
  </si>
  <si>
    <t>Spalte54</t>
  </si>
  <si>
    <t>Spalte55</t>
  </si>
  <si>
    <t>Spalte56</t>
  </si>
  <si>
    <t>Spalte57</t>
  </si>
  <si>
    <t>Spalte58</t>
  </si>
  <si>
    <t>Spalte59</t>
  </si>
  <si>
    <t>Spalte60</t>
  </si>
  <si>
    <t>Spalte61</t>
  </si>
  <si>
    <t>Spalte62</t>
  </si>
  <si>
    <t>Spalte63</t>
  </si>
  <si>
    <t>Spalte64</t>
  </si>
  <si>
    <t>Spalte65</t>
  </si>
  <si>
    <t>Spalte66</t>
  </si>
  <si>
    <t>Spalte67</t>
  </si>
  <si>
    <t>Spalte68</t>
  </si>
  <si>
    <t>Spalte69</t>
  </si>
  <si>
    <t>Spalte70</t>
  </si>
  <si>
    <t>Spalte71</t>
  </si>
  <si>
    <t>Spalte72</t>
  </si>
  <si>
    <t>Spalte73</t>
  </si>
  <si>
    <t>Spalte74</t>
  </si>
  <si>
    <t>Familie</t>
  </si>
  <si>
    <t>BWSB-Mischungen</t>
  </si>
  <si>
    <t>Auswahl der zugekauften Fertigmischung</t>
  </si>
  <si>
    <t>enthaltene Komponenten</t>
  </si>
  <si>
    <t>Verketten</t>
  </si>
  <si>
    <t>RWA (Die Saat)</t>
  </si>
  <si>
    <t>Drop Down Auswahl</t>
  </si>
  <si>
    <t>Komponentenanzahl</t>
  </si>
  <si>
    <t>Familienanzahl</t>
  </si>
  <si>
    <t>Komponenten zählen</t>
  </si>
  <si>
    <t>Wie oft kommt die Familie vor?</t>
  </si>
  <si>
    <t>Hier können fertige Mischungen mit eigenen Komponenten gemischt werden</t>
  </si>
  <si>
    <t>sparriger Klee</t>
  </si>
  <si>
    <t>Saatstärke der geplanten Mischung in %
(Ziel &gt;= 100%):</t>
  </si>
  <si>
    <r>
      <t xml:space="preserve">resultierende Menge 
</t>
    </r>
    <r>
      <rPr>
        <b/>
        <sz val="12"/>
        <color theme="1"/>
        <rFont val="Arial"/>
        <family val="2"/>
      </rPr>
      <t>kg/ha</t>
    </r>
  </si>
  <si>
    <r>
      <rPr>
        <b/>
        <sz val="12"/>
        <color theme="1"/>
        <rFont val="Arial"/>
        <family val="2"/>
      </rPr>
      <t>Reinsaatstärke</t>
    </r>
    <r>
      <rPr>
        <sz val="12"/>
        <color theme="1"/>
        <rFont val="Arial"/>
        <family val="2"/>
      </rPr>
      <t xml:space="preserve"> Wert aus Begrünungsliste in </t>
    </r>
    <r>
      <rPr>
        <b/>
        <sz val="12"/>
        <color theme="1"/>
        <rFont val="Arial"/>
        <family val="2"/>
      </rPr>
      <t>kg/ha</t>
    </r>
  </si>
  <si>
    <r>
      <t xml:space="preserve">Kosten in </t>
    </r>
    <r>
      <rPr>
        <b/>
        <sz val="12"/>
        <color theme="1"/>
        <rFont val="Arial"/>
        <family val="2"/>
      </rPr>
      <t>€ je ha</t>
    </r>
  </si>
  <si>
    <r>
      <t xml:space="preserve">Kosten in 
</t>
    </r>
    <r>
      <rPr>
        <b/>
        <sz val="12"/>
        <color theme="1"/>
        <rFont val="Arial"/>
        <family val="2"/>
      </rPr>
      <t>€ gesamt</t>
    </r>
  </si>
  <si>
    <r>
      <t xml:space="preserve">Kosten in </t>
    </r>
    <r>
      <rPr>
        <b/>
        <sz val="12"/>
        <color theme="1"/>
        <rFont val="Arial"/>
        <family val="2"/>
      </rPr>
      <t>€ je kg</t>
    </r>
  </si>
  <si>
    <r>
      <t xml:space="preserve">resultierende 
</t>
    </r>
    <r>
      <rPr>
        <b/>
        <sz val="12"/>
        <color theme="1"/>
        <rFont val="Arial"/>
        <family val="2"/>
      </rPr>
      <t>Saatstärke in %</t>
    </r>
  </si>
  <si>
    <t>NEUES Tabellenblatt "Mischungen verfeinern"</t>
  </si>
  <si>
    <t>in diesem Tabellenblatt können Fertigmischungen mit weiteren Einzelkomponenten gemischt werden</t>
  </si>
  <si>
    <t>Kosten und Aussaatstärken werden berechnet</t>
  </si>
  <si>
    <r>
      <t xml:space="preserve">Durch einen KLICK auf diesen Link ► gelangen Sie zur </t>
    </r>
    <r>
      <rPr>
        <b/>
        <u/>
        <sz val="12"/>
        <rFont val="Arial"/>
        <family val="2"/>
      </rPr>
      <t>Begrünungsliste</t>
    </r>
  </si>
  <si>
    <t>Saatstärke der zugekauften Fertigmischung in %</t>
  </si>
  <si>
    <r>
      <rPr>
        <u/>
        <sz val="20"/>
        <rFont val="Arial"/>
        <family val="2"/>
      </rPr>
      <t>►</t>
    </r>
    <r>
      <rPr>
        <u/>
        <sz val="12"/>
        <rFont val="Arial"/>
        <family val="2"/>
      </rPr>
      <t xml:space="preserve"> HIER gelangen Sie zum Begrünungsrechner</t>
    </r>
  </si>
  <si>
    <r>
      <t xml:space="preserve">Dieser Bereich ist in die Tabellenblätter </t>
    </r>
    <r>
      <rPr>
        <b/>
        <u/>
        <sz val="11"/>
        <color theme="1"/>
        <rFont val="Arial"/>
        <family val="2"/>
      </rPr>
      <t>"Begr.-Rechner BIO"</t>
    </r>
    <r>
      <rPr>
        <sz val="11"/>
        <color theme="1"/>
        <rFont val="Arial"/>
        <family val="2"/>
      </rPr>
      <t xml:space="preserve"> und </t>
    </r>
    <r>
      <rPr>
        <b/>
        <u/>
        <sz val="11"/>
        <color theme="1"/>
        <rFont val="Arial"/>
        <family val="2"/>
      </rPr>
      <t>"Zusammenfassung BIO"</t>
    </r>
    <r>
      <rPr>
        <sz val="11"/>
        <color theme="1"/>
        <rFont val="Arial"/>
        <family val="2"/>
      </rPr>
      <t xml:space="preserve"> unterteilt.</t>
    </r>
  </si>
  <si>
    <r>
      <t xml:space="preserve">Um die Berechnung vollständig ausführen zu können, müssen die </t>
    </r>
    <r>
      <rPr>
        <b/>
        <u/>
        <sz val="11"/>
        <color theme="1"/>
        <rFont val="Arial"/>
        <family val="2"/>
      </rPr>
      <t>betreffende Fläche</t>
    </r>
    <r>
      <rPr>
        <sz val="11"/>
        <color theme="1"/>
        <rFont val="Arial"/>
        <family val="2"/>
      </rPr>
      <t xml:space="preserve"> und die 
</t>
    </r>
    <r>
      <rPr>
        <b/>
        <u/>
        <sz val="11"/>
        <color theme="1"/>
        <rFont val="Arial"/>
        <family val="2"/>
      </rPr>
      <t>geplante Saatgutmenge je ha</t>
    </r>
    <r>
      <rPr>
        <sz val="11"/>
        <color theme="1"/>
        <rFont val="Arial"/>
        <family val="2"/>
      </rPr>
      <t xml:space="preserve"> angeführt werden.</t>
    </r>
  </si>
  <si>
    <t>Düngeobergrenze gem. NAPV:</t>
  </si>
  <si>
    <r>
      <rPr>
        <sz val="11"/>
        <rFont val="Arial"/>
        <family val="2"/>
      </rPr>
      <t>angeführte Werte sind Durchschnitts- bzw. Beispielwerte</t>
    </r>
    <r>
      <rPr>
        <b/>
        <sz val="11"/>
        <rFont val="Arial"/>
        <family val="2"/>
      </rPr>
      <t xml:space="preserve">
Hier können auch eigene Werte eingetragen werden</t>
    </r>
  </si>
  <si>
    <r>
      <t xml:space="preserve">Düngeobergrenze in </t>
    </r>
    <r>
      <rPr>
        <b/>
        <sz val="11"/>
        <color theme="1"/>
        <rFont val="Arial"/>
        <family val="2"/>
      </rPr>
      <t>Nitratrisikogebieten</t>
    </r>
    <r>
      <rPr>
        <sz val="11"/>
        <color theme="1"/>
        <rFont val="Arial"/>
        <family val="2"/>
      </rPr>
      <t xml:space="preserve"> gem. NAPV Anlage 5:</t>
    </r>
  </si>
  <si>
    <t>MUNGO (Schwarzsamen / Ramtillkraut / Gingellikraut)</t>
  </si>
  <si>
    <t>Senf nematodenhemmend / nematodenresistent</t>
  </si>
  <si>
    <r>
      <rPr>
        <sz val="11"/>
        <rFont val="Arial"/>
        <family val="2"/>
      </rPr>
      <t>angeführte Werte sind Durchschnitts- bzw. Beispielwerte</t>
    </r>
    <r>
      <rPr>
        <b/>
        <sz val="11"/>
        <rFont val="Arial"/>
        <family val="2"/>
      </rPr>
      <t xml:space="preserve">
HIER können auch eigene Werte eingegeben werden</t>
    </r>
  </si>
  <si>
    <r>
      <rPr>
        <b/>
        <sz val="11"/>
        <color theme="1"/>
        <rFont val="Arial"/>
        <family val="2"/>
      </rPr>
      <t>Düngeobergrenze</t>
    </r>
    <r>
      <rPr>
        <sz val="11"/>
        <color theme="1"/>
        <rFont val="Arial"/>
        <family val="2"/>
      </rPr>
      <t xml:space="preserve"> gem. NAPV:</t>
    </r>
  </si>
  <si>
    <r>
      <rPr>
        <b/>
        <sz val="11"/>
        <color theme="1"/>
        <rFont val="Arial"/>
        <family val="2"/>
      </rPr>
      <t>Herbstdüngegrenze mit leichtlöslichen stickstoffhältigen Düngemitteln</t>
    </r>
    <r>
      <rPr>
        <sz val="11"/>
        <color theme="1"/>
        <rFont val="Arial"/>
        <family val="2"/>
      </rPr>
      <t xml:space="preserve"> von
</t>
    </r>
    <r>
      <rPr>
        <b/>
        <u/>
        <sz val="11"/>
        <color theme="1"/>
        <rFont val="Arial"/>
        <family val="2"/>
      </rPr>
      <t>60 kg N ab Lager</t>
    </r>
    <r>
      <rPr>
        <sz val="11"/>
        <color theme="1"/>
        <rFont val="Arial"/>
        <family val="2"/>
      </rPr>
      <t xml:space="preserve"> </t>
    </r>
    <r>
      <rPr>
        <b/>
        <sz val="11"/>
        <color theme="1"/>
        <rFont val="Arial"/>
        <family val="2"/>
      </rPr>
      <t xml:space="preserve">ab der Ernte der letzten Hauptkultur </t>
    </r>
    <r>
      <rPr>
        <sz val="11"/>
        <color theme="1"/>
        <rFont val="Arial"/>
        <family val="2"/>
      </rPr>
      <t>beachten</t>
    </r>
  </si>
  <si>
    <t>Schwarzsamen / Ramtillkraut / Gingellikraut / Mungo</t>
  </si>
  <si>
    <t>Schwarzsamen / Ramtillkraut / Gingellikraut / Mungo*</t>
  </si>
  <si>
    <t>Saatgutanbieter wählen ▼</t>
  </si>
  <si>
    <t>Auswahl beigemengter Einzelkomponenten (Drop Down Auswahl oder eigene Kultur):</t>
  </si>
  <si>
    <t>Wassereffiziente abfrostende Begrünungsmischung für den Boden,  Hybridsudangras, Phazelia, Mungo, Perserklee, Öllein und Leindotter (wassereffizient &amp; sparend)</t>
  </si>
  <si>
    <r>
      <rPr>
        <b/>
        <sz val="11"/>
        <color theme="1"/>
        <rFont val="Arial"/>
        <family val="2"/>
      </rPr>
      <t>Düngeobergrenze</t>
    </r>
    <r>
      <rPr>
        <sz val="11"/>
        <color theme="1"/>
        <rFont val="Arial"/>
        <family val="2"/>
      </rPr>
      <t xml:space="preserve"> in </t>
    </r>
    <r>
      <rPr>
        <b/>
        <sz val="11"/>
        <color theme="1"/>
        <rFont val="Arial"/>
        <family val="2"/>
      </rPr>
      <t xml:space="preserve">Nitratrisikogebieten </t>
    </r>
    <r>
      <rPr>
        <sz val="11"/>
        <color theme="1"/>
        <rFont val="Arial"/>
        <family val="2"/>
      </rPr>
      <t>gem. NAPV Anlage 5:</t>
    </r>
  </si>
  <si>
    <r>
      <t xml:space="preserve">Durch einen Klick auf diesen Link </t>
    </r>
    <r>
      <rPr>
        <u/>
        <sz val="20"/>
        <color theme="1"/>
        <rFont val="Arial"/>
        <family val="2"/>
      </rPr>
      <t>►</t>
    </r>
    <r>
      <rPr>
        <u/>
        <sz val="12"/>
        <color theme="1"/>
        <rFont val="Arial"/>
        <family val="2"/>
      </rPr>
      <t xml:space="preserve"> gelangen Sie zum Tabellenblatt "Mischungen verfeinern"</t>
    </r>
  </si>
  <si>
    <t>Schwarzsamen/Ramtillkraut/Gingellikraut/Mungo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</si>
</sst>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 #,##0.00_-;\-&quot;€&quot;\ * #,##0.00_-;_-&quot;€&quot;\ * &quot;-&quot;??_-;_-@_-"/>
    <numFmt numFmtId="43" formatCode="_-* #,##0.00_-;\-* #,##0.00_-;_-* &quot;-&quot;??_-;_-@_-"/>
    <numFmt numFmtId="164" formatCode="0.0"/>
    <numFmt numFmtId="165" formatCode="0.0%"/>
    <numFmt numFmtId="166" formatCode="0&quot; kg/ha&quot;"/>
    <numFmt numFmtId="167" formatCode="&quot;€&quot;\ #,##0.0"/>
    <numFmt numFmtId="168" formatCode="0.0000"/>
    <numFmt numFmtId="169" formatCode="0.0&quot; kg/ha&quot;"/>
    <numFmt numFmtId="170" formatCode="&quot;€&quot;\ #,##0.00"/>
  </numFmts>
  <fonts count="63" x14ac:knownFonts="1">
    <font>
      <sz val="11"/>
      <color theme="1"/>
      <name val="Arial"/>
      <family val="2"/>
    </font>
    <font>
      <sz val="12"/>
      <name val="Times New Roman"/>
      <family val="1"/>
    </font>
    <font>
      <b/>
      <sz val="16"/>
      <name val="Arial"/>
      <family val="2"/>
    </font>
    <font>
      <b/>
      <sz val="11"/>
      <name val="Arial"/>
      <family val="2"/>
    </font>
    <font>
      <sz val="10"/>
      <name val="Arial"/>
      <family val="2"/>
    </font>
    <font>
      <b/>
      <sz val="14"/>
      <name val="Arial"/>
      <family val="2"/>
    </font>
    <font>
      <b/>
      <sz val="14"/>
      <color indexed="9"/>
      <name val="Arial"/>
      <family val="2"/>
    </font>
    <font>
      <b/>
      <sz val="10"/>
      <color indexed="9"/>
      <name val="Arial"/>
      <family val="2"/>
    </font>
    <font>
      <sz val="12"/>
      <name val="Arial"/>
      <family val="2"/>
    </font>
    <font>
      <b/>
      <sz val="12"/>
      <name val="Arial"/>
      <family val="2"/>
    </font>
    <font>
      <sz val="11"/>
      <name val="Arial"/>
      <family val="2"/>
    </font>
    <font>
      <sz val="11"/>
      <color theme="1"/>
      <name val="Times New Roman"/>
      <family val="1"/>
    </font>
    <font>
      <sz val="9"/>
      <color indexed="81"/>
      <name val="Segoe UI"/>
      <family val="2"/>
    </font>
    <font>
      <b/>
      <sz val="9"/>
      <color indexed="81"/>
      <name val="Segoe UI"/>
      <family val="2"/>
    </font>
    <font>
      <b/>
      <u/>
      <sz val="11"/>
      <name val="Arial"/>
      <family val="2"/>
    </font>
    <font>
      <b/>
      <sz val="20"/>
      <name val="Arial"/>
      <family val="2"/>
    </font>
    <font>
      <b/>
      <sz val="22"/>
      <name val="Arial"/>
      <family val="2"/>
    </font>
    <font>
      <sz val="22"/>
      <name val="Arial"/>
      <family val="2"/>
    </font>
    <font>
      <b/>
      <sz val="13"/>
      <name val="Arial"/>
      <family val="2"/>
    </font>
    <font>
      <sz val="14"/>
      <name val="Arial"/>
      <family val="2"/>
    </font>
    <font>
      <sz val="12"/>
      <color theme="1"/>
      <name val="Arial"/>
      <family val="2"/>
    </font>
    <font>
      <sz val="11"/>
      <color rgb="FF000000"/>
      <name val="Arial"/>
      <family val="2"/>
    </font>
    <font>
      <b/>
      <u/>
      <sz val="16"/>
      <name val="Arial"/>
      <family val="2"/>
    </font>
    <font>
      <b/>
      <sz val="11"/>
      <color theme="1"/>
      <name val="Arial"/>
      <family val="2"/>
    </font>
    <font>
      <b/>
      <u/>
      <sz val="11"/>
      <color theme="1"/>
      <name val="Arial"/>
      <family val="2"/>
    </font>
    <font>
      <b/>
      <u/>
      <sz val="12"/>
      <color theme="1"/>
      <name val="Arial"/>
      <family val="2"/>
    </font>
    <font>
      <u/>
      <sz val="11"/>
      <color theme="10"/>
      <name val="Arial"/>
      <family val="2"/>
    </font>
    <font>
      <b/>
      <sz val="16"/>
      <color theme="1"/>
      <name val="Arial"/>
      <family val="2"/>
    </font>
    <font>
      <u/>
      <sz val="12"/>
      <color theme="10"/>
      <name val="Arial"/>
      <family val="2"/>
    </font>
    <font>
      <u/>
      <sz val="12"/>
      <name val="Arial"/>
      <family val="2"/>
    </font>
    <font>
      <u/>
      <sz val="18"/>
      <name val="Arial"/>
      <family val="2"/>
    </font>
    <font>
      <u/>
      <sz val="20"/>
      <name val="Arial"/>
      <family val="2"/>
    </font>
    <font>
      <u/>
      <sz val="22"/>
      <name val="Arial"/>
      <family val="2"/>
    </font>
    <font>
      <b/>
      <u/>
      <sz val="12"/>
      <name val="Arial"/>
      <family val="2"/>
    </font>
    <font>
      <b/>
      <u/>
      <sz val="20"/>
      <color theme="1"/>
      <name val="Arial"/>
      <family val="2"/>
    </font>
    <font>
      <b/>
      <sz val="14"/>
      <color theme="1"/>
      <name val="Arial"/>
      <family val="2"/>
    </font>
    <font>
      <b/>
      <sz val="36"/>
      <color indexed="9"/>
      <name val="Arial"/>
      <family val="2"/>
    </font>
    <font>
      <b/>
      <sz val="12"/>
      <color theme="1"/>
      <name val="Arial"/>
      <family val="2"/>
    </font>
    <font>
      <sz val="12"/>
      <name val="Times New Roman"/>
      <family val="1"/>
    </font>
    <font>
      <i/>
      <sz val="11"/>
      <name val="Arial"/>
      <family val="2"/>
    </font>
    <font>
      <b/>
      <u/>
      <sz val="18"/>
      <color theme="1"/>
      <name val="Arial"/>
      <family val="2"/>
    </font>
    <font>
      <u/>
      <sz val="14"/>
      <color theme="1"/>
      <name val="Arial"/>
      <family val="2"/>
    </font>
    <font>
      <sz val="14"/>
      <color theme="1"/>
      <name val="Arial"/>
      <family val="2"/>
    </font>
    <font>
      <u/>
      <sz val="11"/>
      <color theme="1"/>
      <name val="Arial"/>
      <family val="2"/>
    </font>
    <font>
      <b/>
      <u/>
      <sz val="14"/>
      <color theme="1"/>
      <name val="Arial"/>
      <family val="2"/>
    </font>
    <font>
      <b/>
      <sz val="11"/>
      <color indexed="9"/>
      <name val="Arial"/>
      <family val="2"/>
    </font>
    <font>
      <b/>
      <u/>
      <sz val="11"/>
      <color indexed="9"/>
      <name val="Arial"/>
      <family val="2"/>
    </font>
    <font>
      <i/>
      <u/>
      <sz val="11"/>
      <name val="Arial"/>
      <family val="2"/>
    </font>
    <font>
      <sz val="12"/>
      <name val="Times New Roman"/>
      <family val="1"/>
    </font>
    <font>
      <b/>
      <sz val="12"/>
      <color indexed="9"/>
      <name val="Arial"/>
      <family val="2"/>
    </font>
    <font>
      <b/>
      <sz val="10"/>
      <color indexed="81"/>
      <name val="Segoe UI"/>
      <family val="2"/>
    </font>
    <font>
      <b/>
      <sz val="11"/>
      <color indexed="81"/>
      <name val="Segoe UI"/>
      <family val="2"/>
    </font>
    <font>
      <sz val="10"/>
      <color indexed="81"/>
      <name val="Segoe UI"/>
      <family val="2"/>
    </font>
    <font>
      <b/>
      <u/>
      <sz val="10"/>
      <color indexed="81"/>
      <name val="Segoe UI"/>
      <family val="2"/>
    </font>
    <font>
      <sz val="20"/>
      <color theme="1"/>
      <name val="Arial"/>
      <family val="2"/>
    </font>
    <font>
      <b/>
      <u/>
      <sz val="11"/>
      <color indexed="81"/>
      <name val="Segoe UI"/>
      <family val="2"/>
    </font>
    <font>
      <b/>
      <sz val="11"/>
      <color rgb="FFFF0000"/>
      <name val="Arial"/>
      <family val="2"/>
    </font>
    <font>
      <b/>
      <sz val="12"/>
      <color rgb="FFFF0000"/>
      <name val="Arial"/>
      <family val="2"/>
    </font>
    <font>
      <sz val="11"/>
      <color rgb="FFFF0000"/>
      <name val="Arial"/>
      <family val="2"/>
    </font>
    <font>
      <b/>
      <sz val="12"/>
      <color indexed="81"/>
      <name val="Segoe UI"/>
      <family val="2"/>
    </font>
    <font>
      <b/>
      <sz val="18"/>
      <color theme="1"/>
      <name val="Arial"/>
      <family val="2"/>
    </font>
    <font>
      <u/>
      <sz val="20"/>
      <color theme="1"/>
      <name val="Arial"/>
      <family val="2"/>
    </font>
    <font>
      <u/>
      <sz val="12"/>
      <color theme="1"/>
      <name val="Arial"/>
      <family val="2"/>
    </font>
  </fonts>
  <fills count="17">
    <fill>
      <patternFill patternType="none"/>
    </fill>
    <fill>
      <patternFill patternType="gray125"/>
    </fill>
    <fill>
      <patternFill patternType="solid">
        <fgColor rgb="FFFFFF00"/>
        <bgColor indexed="64"/>
      </patternFill>
    </fill>
    <fill>
      <patternFill patternType="solid">
        <fgColor theme="9" tint="0.39997558519241921"/>
        <bgColor indexed="64"/>
      </patternFill>
    </fill>
    <fill>
      <patternFill patternType="solid">
        <fgColor theme="9"/>
        <bgColor indexed="64"/>
      </patternFill>
    </fill>
    <fill>
      <patternFill patternType="solid">
        <fgColor rgb="FFCCFFCC"/>
        <bgColor indexed="64"/>
      </patternFill>
    </fill>
    <fill>
      <patternFill patternType="solid">
        <fgColor indexed="42"/>
        <bgColor indexed="64"/>
      </patternFill>
    </fill>
    <fill>
      <patternFill patternType="solid">
        <fgColor theme="0"/>
        <bgColor indexed="64"/>
      </patternFill>
    </fill>
    <fill>
      <patternFill patternType="solid">
        <fgColor rgb="FFFFFFCC"/>
        <bgColor indexed="64"/>
      </patternFill>
    </fill>
    <fill>
      <patternFill patternType="solid">
        <fgColor theme="7" tint="0.79998168889431442"/>
        <bgColor indexed="64"/>
      </patternFill>
    </fill>
    <fill>
      <patternFill patternType="solid">
        <fgColor indexed="9"/>
        <bgColor indexed="64"/>
      </patternFill>
    </fill>
    <fill>
      <patternFill patternType="solid">
        <fgColor theme="9" tint="0.59999389629810485"/>
        <bgColor indexed="64"/>
      </patternFill>
    </fill>
    <fill>
      <patternFill patternType="solid">
        <fgColor theme="7" tint="-0.249977111117893"/>
        <bgColor indexed="64"/>
      </patternFill>
    </fill>
    <fill>
      <patternFill patternType="solid">
        <fgColor rgb="FF92D050"/>
        <bgColor indexed="64"/>
      </patternFill>
    </fill>
    <fill>
      <patternFill patternType="solid">
        <fgColor rgb="FFFFC000"/>
        <bgColor indexed="64"/>
      </patternFill>
    </fill>
    <fill>
      <patternFill patternType="solid">
        <fgColor theme="9" tint="0.59996337778862885"/>
        <bgColor indexed="64"/>
      </patternFill>
    </fill>
    <fill>
      <patternFill patternType="solid">
        <fgColor theme="7" tint="0.59996337778862885"/>
        <bgColor indexed="64"/>
      </patternFill>
    </fill>
  </fills>
  <borders count="114">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diagonal/>
    </border>
    <border>
      <left style="thick">
        <color indexed="64"/>
      </left>
      <right style="thick">
        <color indexed="64"/>
      </right>
      <top style="medium">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ck">
        <color indexed="64"/>
      </left>
      <right style="thick">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ck">
        <color indexed="64"/>
      </left>
      <right style="thick">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ck">
        <color indexed="64"/>
      </left>
      <right style="thick">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ck">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style="medium">
        <color indexed="64"/>
      </left>
      <right/>
      <top style="thin">
        <color indexed="64"/>
      </top>
      <bottom/>
      <diagonal/>
    </border>
    <border>
      <left style="thick">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top style="thick">
        <color indexed="64"/>
      </top>
      <bottom style="medium">
        <color indexed="64"/>
      </bottom>
      <diagonal/>
    </border>
    <border>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top style="medium">
        <color indexed="64"/>
      </top>
      <bottom style="medium">
        <color indexed="64"/>
      </bottom>
      <diagonal/>
    </border>
    <border>
      <left style="thin">
        <color indexed="64"/>
      </left>
      <right style="thick">
        <color indexed="64"/>
      </right>
      <top style="medium">
        <color indexed="64"/>
      </top>
      <bottom style="thin">
        <color indexed="64"/>
      </bottom>
      <diagonal/>
    </border>
    <border>
      <left style="thick">
        <color indexed="64"/>
      </left>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top style="medium">
        <color indexed="64"/>
      </top>
      <bottom style="thick">
        <color indexed="64"/>
      </bottom>
      <diagonal/>
    </border>
    <border>
      <left/>
      <right style="thin">
        <color indexed="64"/>
      </right>
      <top style="medium">
        <color indexed="64"/>
      </top>
      <bottom style="thick">
        <color indexed="64"/>
      </bottom>
      <diagonal/>
    </border>
    <border>
      <left style="thin">
        <color indexed="64"/>
      </left>
      <right style="thick">
        <color indexed="64"/>
      </right>
      <top style="medium">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bottom style="thick">
        <color indexed="64"/>
      </bottom>
      <diagonal/>
    </border>
    <border>
      <left style="thin">
        <color indexed="64"/>
      </left>
      <right style="thin">
        <color indexed="64"/>
      </right>
      <top/>
      <bottom style="thick">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medium">
        <color indexed="64"/>
      </left>
      <right style="medium">
        <color indexed="64"/>
      </right>
      <top style="medium">
        <color indexed="64"/>
      </top>
      <bottom style="thick">
        <color indexed="64"/>
      </bottom>
      <diagonal/>
    </border>
    <border>
      <left style="thick">
        <color indexed="64"/>
      </left>
      <right style="medium">
        <color indexed="64"/>
      </right>
      <top style="medium">
        <color indexed="64"/>
      </top>
      <bottom style="thick">
        <color indexed="64"/>
      </bottom>
      <diagonal/>
    </border>
    <border>
      <left style="thick">
        <color indexed="64"/>
      </left>
      <right style="medium">
        <color indexed="64"/>
      </right>
      <top style="medium">
        <color indexed="64"/>
      </top>
      <bottom style="medium">
        <color indexed="64"/>
      </bottom>
      <diagonal/>
    </border>
    <border>
      <left style="thick">
        <color indexed="64"/>
      </left>
      <right style="thin">
        <color indexed="64"/>
      </right>
      <top style="medium">
        <color indexed="64"/>
      </top>
      <bottom style="medium">
        <color indexed="64"/>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top style="thick">
        <color indexed="64"/>
      </top>
      <bottom style="thin">
        <color indexed="64"/>
      </bottom>
      <diagonal/>
    </border>
    <border>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ck">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ck">
        <color indexed="64"/>
      </left>
      <right style="thin">
        <color indexed="64"/>
      </right>
      <top/>
      <bottom style="medium">
        <color indexed="64"/>
      </bottom>
      <diagonal/>
    </border>
    <border>
      <left style="thick">
        <color indexed="64"/>
      </left>
      <right style="thin">
        <color indexed="64"/>
      </right>
      <top/>
      <bottom style="thick">
        <color indexed="64"/>
      </bottom>
      <diagonal/>
    </border>
    <border>
      <left style="thick">
        <color indexed="64"/>
      </left>
      <right style="medium">
        <color indexed="64"/>
      </right>
      <top style="thick">
        <color indexed="64"/>
      </top>
      <bottom style="thin">
        <color indexed="64"/>
      </bottom>
      <diagonal/>
    </border>
    <border>
      <left style="thick">
        <color indexed="64"/>
      </left>
      <right style="medium">
        <color indexed="64"/>
      </right>
      <top style="thin">
        <color indexed="64"/>
      </top>
      <bottom style="thin">
        <color indexed="64"/>
      </bottom>
      <diagonal/>
    </border>
    <border>
      <left style="thick">
        <color indexed="64"/>
      </left>
      <right style="medium">
        <color indexed="64"/>
      </right>
      <top style="thin">
        <color indexed="64"/>
      </top>
      <bottom style="thick">
        <color indexed="64"/>
      </bottom>
      <diagonal/>
    </border>
    <border>
      <left style="thick">
        <color indexed="64"/>
      </left>
      <right style="thick">
        <color indexed="64"/>
      </right>
      <top style="thick">
        <color indexed="64"/>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diagonal/>
    </border>
    <border>
      <left/>
      <right/>
      <top style="thick">
        <color indexed="64"/>
      </top>
      <bottom style="medium">
        <color indexed="64"/>
      </bottom>
      <diagonal/>
    </border>
    <border>
      <left style="thick">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s>
  <cellStyleXfs count="11">
    <xf numFmtId="0" fontId="0" fillId="0" borderId="0"/>
    <xf numFmtId="0" fontId="1" fillId="0" borderId="0"/>
    <xf numFmtId="0" fontId="4" fillId="0" borderId="0"/>
    <xf numFmtId="0" fontId="1" fillId="0" borderId="0"/>
    <xf numFmtId="44" fontId="1" fillId="0" borderId="0" applyFont="0" applyFill="0" applyBorder="0" applyAlignment="0" applyProtection="0"/>
    <xf numFmtId="0" fontId="26" fillId="0" borderId="0" applyNumberFormat="0" applyFill="0" applyBorder="0" applyAlignment="0" applyProtection="0"/>
    <xf numFmtId="0" fontId="38" fillId="0" borderId="0"/>
    <xf numFmtId="44" fontId="38" fillId="0" borderId="0" applyFont="0" applyFill="0" applyBorder="0" applyAlignment="0" applyProtection="0"/>
    <xf numFmtId="43" fontId="38" fillId="0" borderId="0" applyFont="0" applyFill="0" applyBorder="0" applyAlignment="0" applyProtection="0"/>
    <xf numFmtId="44" fontId="1" fillId="0" borderId="0" applyFont="0" applyFill="0" applyBorder="0" applyAlignment="0" applyProtection="0"/>
    <xf numFmtId="0" fontId="48" fillId="0" borderId="0"/>
  </cellStyleXfs>
  <cellXfs count="658">
    <xf numFmtId="0" fontId="0" fillId="0" borderId="0" xfId="0"/>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0" borderId="0" xfId="0" applyFont="1" applyAlignment="1">
      <alignment horizontal="center" vertical="center" wrapText="1"/>
    </xf>
    <xf numFmtId="0" fontId="6" fillId="4" borderId="5" xfId="2" applyFont="1" applyFill="1" applyBorder="1" applyAlignment="1">
      <alignment horizontal="center" vertical="center" wrapText="1"/>
    </xf>
    <xf numFmtId="0" fontId="6" fillId="4" borderId="6" xfId="2" applyFont="1" applyFill="1" applyBorder="1" applyAlignment="1">
      <alignment horizontal="center" vertical="center" wrapText="1"/>
    </xf>
    <xf numFmtId="0" fontId="6" fillId="0" borderId="7" xfId="2" applyFont="1" applyBorder="1" applyAlignment="1">
      <alignment horizontal="center" vertical="center" wrapText="1"/>
    </xf>
    <xf numFmtId="0" fontId="7" fillId="4" borderId="8" xfId="2" applyFont="1" applyFill="1" applyBorder="1" applyAlignment="1">
      <alignment horizontal="center" vertical="center" wrapText="1"/>
    </xf>
    <xf numFmtId="0" fontId="7" fillId="4" borderId="9" xfId="2" applyFont="1" applyFill="1" applyBorder="1" applyAlignment="1">
      <alignment horizontal="center" vertical="center" wrapText="1"/>
    </xf>
    <xf numFmtId="0" fontId="7" fillId="4" borderId="10" xfId="2" applyFont="1" applyFill="1" applyBorder="1" applyAlignment="1">
      <alignment horizontal="center" vertical="center" wrapText="1"/>
    </xf>
    <xf numFmtId="0" fontId="7" fillId="4" borderId="11" xfId="2" applyFont="1" applyFill="1" applyBorder="1" applyAlignment="1">
      <alignment horizontal="center" vertical="center" wrapText="1"/>
    </xf>
    <xf numFmtId="2" fontId="0" fillId="0" borderId="2" xfId="0" applyNumberFormat="1" applyBorder="1" applyAlignment="1">
      <alignment horizontal="center" vertical="center"/>
    </xf>
    <xf numFmtId="164" fontId="0" fillId="0" borderId="1" xfId="0" applyNumberFormat="1" applyBorder="1" applyAlignment="1">
      <alignment horizontal="center" vertical="center"/>
    </xf>
    <xf numFmtId="165" fontId="0" fillId="0" borderId="3" xfId="0" applyNumberFormat="1" applyBorder="1" applyAlignment="1">
      <alignment horizontal="center" vertical="center"/>
    </xf>
    <xf numFmtId="0" fontId="8" fillId="0" borderId="13" xfId="3" applyFont="1" applyBorder="1" applyAlignment="1">
      <alignment horizontal="left" vertical="center" wrapText="1"/>
    </xf>
    <xf numFmtId="2" fontId="8" fillId="0" borderId="15" xfId="3" applyNumberFormat="1" applyFont="1" applyBorder="1" applyAlignment="1">
      <alignment horizontal="center" vertical="center"/>
    </xf>
    <xf numFmtId="2" fontId="8" fillId="0" borderId="20" xfId="3" applyNumberFormat="1" applyFont="1" applyBorder="1" applyAlignment="1">
      <alignment horizontal="center" vertical="center"/>
    </xf>
    <xf numFmtId="0" fontId="8" fillId="0" borderId="25" xfId="3" applyFont="1" applyBorder="1" applyAlignment="1">
      <alignment vertical="center" wrapText="1"/>
    </xf>
    <xf numFmtId="0" fontId="8" fillId="0" borderId="26" xfId="3" applyFont="1" applyBorder="1" applyAlignment="1">
      <alignment vertical="center" wrapText="1"/>
    </xf>
    <xf numFmtId="0" fontId="8" fillId="0" borderId="27" xfId="3" applyFont="1" applyBorder="1" applyAlignment="1">
      <alignment vertical="center" wrapText="1"/>
    </xf>
    <xf numFmtId="0" fontId="8" fillId="0" borderId="3" xfId="3" applyFont="1" applyBorder="1" applyAlignment="1">
      <alignment vertical="center" wrapText="1"/>
    </xf>
    <xf numFmtId="2" fontId="8" fillId="0" borderId="33" xfId="3" applyNumberFormat="1" applyFont="1" applyBorder="1" applyAlignment="1">
      <alignment horizontal="center" vertical="center"/>
    </xf>
    <xf numFmtId="0" fontId="8" fillId="0" borderId="13" xfId="3" applyFont="1" applyBorder="1" applyAlignment="1">
      <alignment vertical="center" wrapText="1"/>
    </xf>
    <xf numFmtId="0" fontId="8" fillId="0" borderId="37" xfId="3" applyFont="1" applyBorder="1" applyAlignment="1">
      <alignment vertical="center" wrapText="1"/>
    </xf>
    <xf numFmtId="0" fontId="8" fillId="0" borderId="42" xfId="3" applyFont="1" applyBorder="1" applyAlignment="1">
      <alignment vertical="center" wrapText="1"/>
    </xf>
    <xf numFmtId="0" fontId="8" fillId="0" borderId="7" xfId="3" applyFont="1" applyBorder="1" applyAlignment="1">
      <alignment vertical="center" wrapText="1"/>
    </xf>
    <xf numFmtId="2" fontId="8" fillId="0" borderId="0" xfId="3" applyNumberFormat="1" applyFont="1" applyAlignment="1" applyProtection="1">
      <alignment horizontal="center" vertical="center"/>
      <protection locked="0"/>
    </xf>
    <xf numFmtId="0" fontId="9" fillId="0" borderId="0" xfId="3" quotePrefix="1" applyFont="1" applyAlignment="1">
      <alignment horizontal="center" vertical="center"/>
    </xf>
    <xf numFmtId="2" fontId="8" fillId="0" borderId="0" xfId="3" applyNumberFormat="1" applyFont="1" applyAlignment="1">
      <alignment horizontal="center" vertical="center"/>
    </xf>
    <xf numFmtId="2" fontId="4" fillId="0" borderId="0" xfId="2" applyNumberFormat="1" applyAlignment="1" applyProtection="1">
      <alignment horizontal="center" vertical="center" wrapText="1"/>
      <protection locked="0"/>
    </xf>
    <xf numFmtId="164" fontId="4" fillId="0" borderId="0" xfId="2" applyNumberFormat="1" applyAlignment="1">
      <alignment horizontal="center" vertical="center" wrapText="1"/>
    </xf>
    <xf numFmtId="0" fontId="4" fillId="0" borderId="0" xfId="2" applyAlignment="1">
      <alignment horizontal="center" vertical="center" wrapText="1"/>
    </xf>
    <xf numFmtId="0" fontId="0" fillId="0" borderId="0" xfId="0" applyProtection="1">
      <protection locked="0"/>
    </xf>
    <xf numFmtId="0" fontId="10" fillId="0" borderId="0" xfId="1" applyFont="1"/>
    <xf numFmtId="0" fontId="10" fillId="0" borderId="0" xfId="1" applyFont="1" applyAlignment="1">
      <alignment horizontal="left"/>
    </xf>
    <xf numFmtId="0" fontId="11" fillId="0" borderId="0" xfId="0" applyFont="1"/>
    <xf numFmtId="0" fontId="9" fillId="6" borderId="28" xfId="3" applyFont="1" applyFill="1" applyBorder="1" applyAlignment="1">
      <alignment horizontal="center" vertical="center" wrapText="1"/>
    </xf>
    <xf numFmtId="2" fontId="8" fillId="0" borderId="28" xfId="3" applyNumberFormat="1" applyFont="1" applyBorder="1" applyAlignment="1">
      <alignment horizontal="center" vertical="center"/>
    </xf>
    <xf numFmtId="0" fontId="8" fillId="6" borderId="28" xfId="3" applyFont="1" applyFill="1" applyBorder="1" applyAlignment="1">
      <alignment vertical="center" wrapText="1"/>
    </xf>
    <xf numFmtId="0" fontId="5" fillId="6" borderId="28" xfId="3" applyFont="1" applyFill="1" applyBorder="1" applyAlignment="1">
      <alignment horizontal="center" vertical="center"/>
    </xf>
    <xf numFmtId="0" fontId="5" fillId="6" borderId="9" xfId="3" applyFont="1" applyFill="1" applyBorder="1" applyAlignment="1">
      <alignment horizontal="center" vertical="center"/>
    </xf>
    <xf numFmtId="0" fontId="8" fillId="0" borderId="0" xfId="1" applyFont="1"/>
    <xf numFmtId="0" fontId="8" fillId="0" borderId="28" xfId="3" applyFont="1" applyBorder="1" applyAlignment="1">
      <alignment vertical="center" wrapText="1"/>
    </xf>
    <xf numFmtId="0" fontId="10" fillId="0" borderId="28" xfId="3" applyFont="1" applyBorder="1" applyAlignment="1">
      <alignment vertical="center" wrapText="1"/>
    </xf>
    <xf numFmtId="0" fontId="10" fillId="0" borderId="0" xfId="1" applyFont="1" applyAlignment="1">
      <alignment wrapText="1"/>
    </xf>
    <xf numFmtId="0" fontId="8" fillId="0" borderId="25" xfId="3" applyFont="1" applyBorder="1" applyAlignment="1">
      <alignment horizontal="left" vertical="center" wrapText="1"/>
    </xf>
    <xf numFmtId="0" fontId="8" fillId="0" borderId="47" xfId="3" applyFont="1" applyBorder="1" applyAlignment="1">
      <alignment vertical="center" wrapText="1"/>
    </xf>
    <xf numFmtId="0" fontId="8" fillId="0" borderId="48" xfId="3" applyFont="1" applyBorder="1" applyAlignment="1">
      <alignment vertical="center" wrapText="1"/>
    </xf>
    <xf numFmtId="0" fontId="8" fillId="0" borderId="49" xfId="3" applyFont="1" applyBorder="1" applyAlignment="1">
      <alignment vertical="center" wrapText="1"/>
    </xf>
    <xf numFmtId="0" fontId="8" fillId="0" borderId="41" xfId="3" applyFont="1" applyBorder="1" applyAlignment="1">
      <alignment vertical="center" wrapText="1"/>
    </xf>
    <xf numFmtId="2" fontId="8" fillId="0" borderId="50" xfId="3" applyNumberFormat="1" applyFont="1" applyBorder="1" applyAlignment="1">
      <alignment horizontal="center" vertical="center"/>
    </xf>
    <xf numFmtId="2" fontId="8" fillId="9" borderId="32" xfId="3" applyNumberFormat="1" applyFont="1" applyFill="1" applyBorder="1" applyAlignment="1" applyProtection="1">
      <alignment horizontal="center" vertical="center"/>
      <protection locked="0"/>
    </xf>
    <xf numFmtId="0" fontId="8" fillId="9" borderId="32" xfId="3" quotePrefix="1" applyFont="1" applyFill="1" applyBorder="1" applyAlignment="1" applyProtection="1">
      <alignment horizontal="center" vertical="center"/>
      <protection locked="0"/>
    </xf>
    <xf numFmtId="0" fontId="15" fillId="4" borderId="36" xfId="2" applyFont="1" applyFill="1" applyBorder="1" applyAlignment="1">
      <alignment horizontal="center" vertical="center" wrapText="1"/>
    </xf>
    <xf numFmtId="0" fontId="2" fillId="3" borderId="1" xfId="1" applyFont="1" applyFill="1" applyBorder="1" applyAlignment="1">
      <alignment horizontal="center" vertical="center"/>
    </xf>
    <xf numFmtId="2" fontId="8" fillId="9" borderId="14" xfId="3" applyNumberFormat="1" applyFont="1" applyFill="1" applyBorder="1" applyAlignment="1" applyProtection="1">
      <alignment horizontal="center" vertical="center"/>
      <protection locked="0"/>
    </xf>
    <xf numFmtId="0" fontId="8" fillId="9" borderId="14" xfId="3" quotePrefix="1" applyFont="1" applyFill="1" applyBorder="1" applyAlignment="1" applyProtection="1">
      <alignment horizontal="center" vertical="center"/>
      <protection locked="0"/>
    </xf>
    <xf numFmtId="2" fontId="8" fillId="9" borderId="19" xfId="3" applyNumberFormat="1" applyFont="1" applyFill="1" applyBorder="1" applyAlignment="1" applyProtection="1">
      <alignment horizontal="center" vertical="center"/>
      <protection locked="0"/>
    </xf>
    <xf numFmtId="0" fontId="8" fillId="0" borderId="46" xfId="3" applyFont="1" applyBorder="1" applyAlignment="1">
      <alignment vertical="center" wrapText="1"/>
    </xf>
    <xf numFmtId="0" fontId="5" fillId="4" borderId="5" xfId="2" applyFont="1" applyFill="1" applyBorder="1" applyAlignment="1">
      <alignment horizontal="center" vertical="center" wrapText="1"/>
    </xf>
    <xf numFmtId="164" fontId="8" fillId="0" borderId="17" xfId="2" applyNumberFormat="1" applyFont="1" applyBorder="1" applyAlignment="1">
      <alignment horizontal="center" vertical="center" wrapText="1"/>
    </xf>
    <xf numFmtId="165" fontId="8" fillId="0" borderId="14" xfId="2" applyNumberFormat="1" applyFont="1" applyBorder="1" applyAlignment="1">
      <alignment horizontal="center" vertical="center" wrapText="1"/>
    </xf>
    <xf numFmtId="0" fontId="8" fillId="0" borderId="18" xfId="2" applyFont="1" applyBorder="1" applyAlignment="1">
      <alignment horizontal="center" vertical="center" wrapText="1"/>
    </xf>
    <xf numFmtId="0" fontId="8" fillId="0" borderId="24" xfId="2" applyFont="1" applyBorder="1" applyAlignment="1">
      <alignment horizontal="center" vertical="center" wrapText="1"/>
    </xf>
    <xf numFmtId="2" fontId="8" fillId="9" borderId="34" xfId="2" applyNumberFormat="1" applyFont="1" applyFill="1" applyBorder="1" applyAlignment="1" applyProtection="1">
      <alignment horizontal="center" vertical="center" wrapText="1"/>
      <protection locked="0"/>
    </xf>
    <xf numFmtId="165" fontId="8" fillId="0" borderId="32" xfId="2" applyNumberFormat="1" applyFont="1" applyBorder="1" applyAlignment="1">
      <alignment horizontal="center" vertical="center" wrapText="1"/>
    </xf>
    <xf numFmtId="0" fontId="8" fillId="9" borderId="19" xfId="3" quotePrefix="1" applyFont="1" applyFill="1" applyBorder="1" applyAlignment="1" applyProtection="1">
      <alignment horizontal="center" vertical="center"/>
      <protection locked="0"/>
    </xf>
    <xf numFmtId="164" fontId="8" fillId="0" borderId="22" xfId="2" applyNumberFormat="1" applyFont="1" applyBorder="1" applyAlignment="1">
      <alignment horizontal="center" vertical="center" wrapText="1"/>
    </xf>
    <xf numFmtId="165" fontId="8" fillId="0" borderId="23" xfId="2" applyNumberFormat="1" applyFont="1" applyBorder="1" applyAlignment="1">
      <alignment horizontal="center" vertical="center" wrapText="1"/>
    </xf>
    <xf numFmtId="2" fontId="8" fillId="9" borderId="54" xfId="2" applyNumberFormat="1" applyFont="1" applyFill="1" applyBorder="1" applyAlignment="1" applyProtection="1">
      <alignment horizontal="center" vertical="center" wrapText="1"/>
      <protection locked="0"/>
    </xf>
    <xf numFmtId="0" fontId="17" fillId="0" borderId="0" xfId="3" applyFont="1"/>
    <xf numFmtId="0" fontId="18" fillId="6" borderId="38" xfId="3" applyFont="1" applyFill="1" applyBorder="1" applyAlignment="1">
      <alignment horizontal="center" vertical="center" wrapText="1"/>
    </xf>
    <xf numFmtId="0" fontId="3" fillId="6" borderId="28" xfId="3" applyFont="1" applyFill="1" applyBorder="1" applyAlignment="1">
      <alignment horizontal="left" vertical="center" wrapText="1"/>
    </xf>
    <xf numFmtId="0" fontId="18" fillId="6" borderId="28" xfId="3" applyFont="1" applyFill="1" applyBorder="1" applyAlignment="1">
      <alignment horizontal="center" vertical="center" wrapText="1"/>
    </xf>
    <xf numFmtId="0" fontId="9" fillId="0" borderId="0" xfId="3" applyFont="1" applyAlignment="1">
      <alignment horizontal="center" vertical="center"/>
    </xf>
    <xf numFmtId="0" fontId="9" fillId="0" borderId="6" xfId="3" applyFont="1" applyBorder="1" applyAlignment="1">
      <alignment horizontal="left" vertical="center"/>
    </xf>
    <xf numFmtId="0" fontId="8" fillId="0" borderId="9" xfId="3" applyFont="1" applyBorder="1" applyAlignment="1">
      <alignment vertical="center"/>
    </xf>
    <xf numFmtId="0" fontId="8" fillId="0" borderId="9" xfId="3" applyFont="1" applyBorder="1" applyAlignment="1">
      <alignment horizontal="center" vertical="center"/>
    </xf>
    <xf numFmtId="49" fontId="8" fillId="0" borderId="9" xfId="3" applyNumberFormat="1" applyFont="1" applyBorder="1" applyAlignment="1">
      <alignment horizontal="center" vertical="center"/>
    </xf>
    <xf numFmtId="0" fontId="8" fillId="0" borderId="9" xfId="3" applyFont="1" applyBorder="1" applyAlignment="1">
      <alignment vertical="center" wrapText="1"/>
    </xf>
    <xf numFmtId="0" fontId="10" fillId="0" borderId="9" xfId="3" applyFont="1" applyBorder="1" applyAlignment="1">
      <alignment vertical="center" wrapText="1"/>
    </xf>
    <xf numFmtId="0" fontId="4" fillId="0" borderId="0" xfId="3" applyFont="1"/>
    <xf numFmtId="0" fontId="8" fillId="0" borderId="28" xfId="3" applyFont="1" applyBorder="1" applyAlignment="1">
      <alignment vertical="center"/>
    </xf>
    <xf numFmtId="0" fontId="8" fillId="0" borderId="28" xfId="3" applyFont="1" applyBorder="1" applyAlignment="1">
      <alignment horizontal="center" vertical="center"/>
    </xf>
    <xf numFmtId="49" fontId="8" fillId="0" borderId="28" xfId="3" applyNumberFormat="1" applyFont="1" applyBorder="1" applyAlignment="1">
      <alignment horizontal="center" vertical="center"/>
    </xf>
    <xf numFmtId="49" fontId="8" fillId="0" borderId="28" xfId="3" quotePrefix="1" applyNumberFormat="1" applyFont="1" applyBorder="1" applyAlignment="1">
      <alignment horizontal="center" vertical="center"/>
    </xf>
    <xf numFmtId="0" fontId="9" fillId="0" borderId="38" xfId="3" applyFont="1" applyBorder="1"/>
    <xf numFmtId="0" fontId="8" fillId="0" borderId="46" xfId="3" applyFont="1" applyBorder="1" applyAlignment="1">
      <alignment horizontal="left"/>
    </xf>
    <xf numFmtId="0" fontId="8" fillId="0" borderId="46" xfId="3" applyFont="1" applyBorder="1" applyAlignment="1">
      <alignment horizontal="center"/>
    </xf>
    <xf numFmtId="49" fontId="8" fillId="0" borderId="46" xfId="3" applyNumberFormat="1" applyFont="1" applyBorder="1" applyAlignment="1">
      <alignment horizontal="center"/>
    </xf>
    <xf numFmtId="0" fontId="8" fillId="0" borderId="39" xfId="3" applyFont="1" applyBorder="1" applyAlignment="1">
      <alignment wrapText="1"/>
    </xf>
    <xf numFmtId="0" fontId="10" fillId="0" borderId="8" xfId="3" applyFont="1" applyBorder="1" applyAlignment="1">
      <alignment vertical="center" wrapText="1"/>
    </xf>
    <xf numFmtId="0" fontId="10" fillId="0" borderId="9" xfId="3" quotePrefix="1" applyFont="1" applyBorder="1" applyAlignment="1">
      <alignment vertical="center" wrapText="1"/>
    </xf>
    <xf numFmtId="0" fontId="8" fillId="0" borderId="46" xfId="3" applyFont="1" applyBorder="1" applyAlignment="1">
      <alignment vertical="center"/>
    </xf>
    <xf numFmtId="0" fontId="8" fillId="0" borderId="46" xfId="3" applyFont="1" applyBorder="1" applyAlignment="1">
      <alignment horizontal="center" vertical="center"/>
    </xf>
    <xf numFmtId="49" fontId="8" fillId="0" borderId="46" xfId="3" applyNumberFormat="1" applyFont="1" applyBorder="1" applyAlignment="1">
      <alignment horizontal="center" vertical="center"/>
    </xf>
    <xf numFmtId="0" fontId="10" fillId="0" borderId="46" xfId="3" applyFont="1" applyBorder="1" applyAlignment="1">
      <alignment vertical="center" wrapText="1"/>
    </xf>
    <xf numFmtId="0" fontId="8" fillId="0" borderId="31" xfId="3" applyFont="1" applyBorder="1" applyAlignment="1">
      <alignment vertical="center"/>
    </xf>
    <xf numFmtId="0" fontId="8" fillId="0" borderId="31" xfId="3" applyFont="1" applyBorder="1" applyAlignment="1">
      <alignment horizontal="center" vertical="center"/>
    </xf>
    <xf numFmtId="49" fontId="8" fillId="0" borderId="31" xfId="3" applyNumberFormat="1" applyFont="1" applyBorder="1" applyAlignment="1">
      <alignment horizontal="center" vertical="center"/>
    </xf>
    <xf numFmtId="0" fontId="10" fillId="0" borderId="31" xfId="3" applyFont="1" applyBorder="1" applyAlignment="1">
      <alignment vertical="center" wrapText="1"/>
    </xf>
    <xf numFmtId="0" fontId="8" fillId="0" borderId="31" xfId="3" applyFont="1" applyBorder="1" applyAlignment="1">
      <alignment horizontal="left" vertical="center"/>
    </xf>
    <xf numFmtId="49" fontId="8" fillId="0" borderId="31" xfId="3" quotePrefix="1" applyNumberFormat="1" applyFont="1" applyBorder="1" applyAlignment="1">
      <alignment horizontal="center" vertical="center"/>
    </xf>
    <xf numFmtId="0" fontId="8" fillId="0" borderId="31" xfId="3" applyFont="1" applyBorder="1" applyAlignment="1">
      <alignment vertical="center" wrapText="1"/>
    </xf>
    <xf numFmtId="0" fontId="8" fillId="0" borderId="28" xfId="3" applyFont="1" applyBorder="1" applyAlignment="1">
      <alignment horizontal="left" vertical="center"/>
    </xf>
    <xf numFmtId="0" fontId="4" fillId="0" borderId="28" xfId="3" applyFont="1" applyBorder="1" applyAlignment="1">
      <alignment vertical="center" wrapText="1"/>
    </xf>
    <xf numFmtId="0" fontId="10" fillId="0" borderId="28" xfId="3" applyFont="1" applyBorder="1"/>
    <xf numFmtId="0" fontId="8" fillId="0" borderId="29" xfId="3" applyFont="1" applyBorder="1" applyAlignment="1">
      <alignment horizontal="left" vertical="center"/>
    </xf>
    <xf numFmtId="0" fontId="8" fillId="0" borderId="29" xfId="3" applyFont="1" applyBorder="1" applyAlignment="1">
      <alignment vertical="center"/>
    </xf>
    <xf numFmtId="0" fontId="8" fillId="0" borderId="29" xfId="3" applyFont="1" applyBorder="1" applyAlignment="1">
      <alignment horizontal="center" vertical="center"/>
    </xf>
    <xf numFmtId="49" fontId="8" fillId="0" borderId="29" xfId="3" applyNumberFormat="1" applyFont="1" applyBorder="1" applyAlignment="1">
      <alignment horizontal="center" vertical="center"/>
    </xf>
    <xf numFmtId="0" fontId="8" fillId="0" borderId="29" xfId="3" applyFont="1" applyBorder="1" applyAlignment="1">
      <alignment vertical="center" wrapText="1"/>
    </xf>
    <xf numFmtId="0" fontId="10" fillId="0" borderId="29" xfId="3" applyFont="1" applyBorder="1" applyAlignment="1">
      <alignment vertical="center" wrapText="1"/>
    </xf>
    <xf numFmtId="0" fontId="10" fillId="0" borderId="0" xfId="3" applyFont="1"/>
    <xf numFmtId="0" fontId="10" fillId="0" borderId="0" xfId="3" applyFont="1" applyAlignment="1">
      <alignment wrapText="1"/>
    </xf>
    <xf numFmtId="0" fontId="4" fillId="0" borderId="0" xfId="3" applyFont="1" applyAlignment="1">
      <alignment wrapText="1"/>
    </xf>
    <xf numFmtId="0" fontId="19" fillId="0" borderId="0" xfId="3" applyFont="1"/>
    <xf numFmtId="0" fontId="4" fillId="10" borderId="0" xfId="3" applyFont="1" applyFill="1" applyAlignment="1">
      <alignment wrapText="1"/>
    </xf>
    <xf numFmtId="0" fontId="9" fillId="0" borderId="38" xfId="3" applyFont="1" applyBorder="1" applyAlignment="1">
      <alignment horizontal="left" vertical="center"/>
    </xf>
    <xf numFmtId="0" fontId="8" fillId="0" borderId="46" xfId="3" applyFont="1" applyBorder="1" applyAlignment="1">
      <alignment horizontal="left" vertical="center"/>
    </xf>
    <xf numFmtId="0" fontId="8" fillId="0" borderId="28" xfId="3" quotePrefix="1" applyFont="1" applyBorder="1" applyAlignment="1">
      <alignment horizontal="center" vertical="center"/>
    </xf>
    <xf numFmtId="16" fontId="8" fillId="0" borderId="28" xfId="3" quotePrefix="1" applyNumberFormat="1" applyFont="1" applyBorder="1" applyAlignment="1">
      <alignment horizontal="center" vertical="center"/>
    </xf>
    <xf numFmtId="0" fontId="8" fillId="0" borderId="9" xfId="3" applyFont="1" applyBorder="1" applyAlignment="1">
      <alignment horizontal="left" vertical="center"/>
    </xf>
    <xf numFmtId="0" fontId="10" fillId="0" borderId="0" xfId="3" applyFont="1" applyAlignment="1">
      <alignment horizontal="center"/>
    </xf>
    <xf numFmtId="0" fontId="4" fillId="0" borderId="0" xfId="3" applyFont="1" applyAlignment="1">
      <alignment horizontal="center"/>
    </xf>
    <xf numFmtId="0" fontId="5" fillId="4" borderId="43" xfId="2" applyFont="1" applyFill="1" applyBorder="1" applyAlignment="1">
      <alignment horizontal="center" vertical="center" wrapText="1"/>
    </xf>
    <xf numFmtId="0" fontId="8" fillId="9" borderId="56" xfId="3" applyFont="1" applyFill="1" applyBorder="1" applyAlignment="1" applyProtection="1">
      <alignment vertical="center" wrapText="1"/>
      <protection locked="0"/>
    </xf>
    <xf numFmtId="2" fontId="8" fillId="9" borderId="57" xfId="3" applyNumberFormat="1" applyFont="1" applyFill="1" applyBorder="1" applyAlignment="1" applyProtection="1">
      <alignment horizontal="center" vertical="center"/>
      <protection locked="0"/>
    </xf>
    <xf numFmtId="0" fontId="8" fillId="9" borderId="57" xfId="3" quotePrefix="1" applyFont="1" applyFill="1" applyBorder="1" applyAlignment="1" applyProtection="1">
      <alignment horizontal="center" vertical="center"/>
      <protection locked="0"/>
    </xf>
    <xf numFmtId="2" fontId="8" fillId="0" borderId="58" xfId="3" applyNumberFormat="1" applyFont="1" applyBorder="1" applyAlignment="1">
      <alignment horizontal="center" vertical="center"/>
    </xf>
    <xf numFmtId="164" fontId="8" fillId="0" borderId="59" xfId="2" applyNumberFormat="1" applyFont="1" applyBorder="1" applyAlignment="1">
      <alignment horizontal="center" vertical="center" wrapText="1"/>
    </xf>
    <xf numFmtId="0" fontId="8" fillId="9" borderId="61" xfId="3" applyFont="1" applyFill="1" applyBorder="1" applyAlignment="1" applyProtection="1">
      <alignment vertical="center" wrapText="1"/>
      <protection locked="0"/>
    </xf>
    <xf numFmtId="0" fontId="8" fillId="9" borderId="63" xfId="3" applyFont="1" applyFill="1" applyBorder="1" applyAlignment="1" applyProtection="1">
      <alignment vertical="center" wrapText="1"/>
      <protection locked="0"/>
    </xf>
    <xf numFmtId="0" fontId="8" fillId="9" borderId="64" xfId="3" quotePrefix="1" applyFont="1" applyFill="1" applyBorder="1" applyAlignment="1" applyProtection="1">
      <alignment horizontal="center" vertical="center"/>
      <protection locked="0"/>
    </xf>
    <xf numFmtId="2" fontId="8" fillId="0" borderId="65" xfId="3" applyNumberFormat="1" applyFont="1" applyBorder="1" applyAlignment="1">
      <alignment horizontal="center" vertical="center"/>
    </xf>
    <xf numFmtId="2" fontId="8" fillId="9" borderId="12" xfId="2" applyNumberFormat="1" applyFont="1" applyFill="1" applyBorder="1" applyAlignment="1" applyProtection="1">
      <alignment horizontal="center" vertical="center" wrapText="1"/>
      <protection locked="0"/>
    </xf>
    <xf numFmtId="164" fontId="8" fillId="0" borderId="66" xfId="2" applyNumberFormat="1" applyFont="1" applyBorder="1" applyAlignment="1">
      <alignment horizontal="center" vertical="center" wrapText="1"/>
    </xf>
    <xf numFmtId="165" fontId="8" fillId="0" borderId="57" xfId="2" applyNumberFormat="1" applyFont="1" applyBorder="1" applyAlignment="1">
      <alignment horizontal="center" vertical="center" wrapText="1"/>
    </xf>
    <xf numFmtId="2" fontId="8" fillId="9" borderId="68" xfId="3" applyNumberFormat="1" applyFont="1" applyFill="1" applyBorder="1" applyAlignment="1" applyProtection="1">
      <alignment horizontal="center" vertical="center"/>
      <protection locked="0"/>
    </xf>
    <xf numFmtId="0" fontId="8" fillId="9" borderId="68" xfId="3" quotePrefix="1" applyFont="1" applyFill="1" applyBorder="1" applyAlignment="1" applyProtection="1">
      <alignment horizontal="center" vertical="center"/>
      <protection locked="0"/>
    </xf>
    <xf numFmtId="2" fontId="8" fillId="0" borderId="69" xfId="3" applyNumberFormat="1" applyFont="1" applyBorder="1" applyAlignment="1">
      <alignment horizontal="center" vertical="center"/>
    </xf>
    <xf numFmtId="165" fontId="8" fillId="0" borderId="70" xfId="2" applyNumberFormat="1" applyFont="1" applyBorder="1" applyAlignment="1">
      <alignment horizontal="center" vertical="center" wrapText="1"/>
    </xf>
    <xf numFmtId="0" fontId="15" fillId="4" borderId="55" xfId="2" applyFont="1" applyFill="1" applyBorder="1" applyAlignment="1">
      <alignment horizontal="center" vertical="center" wrapText="1"/>
    </xf>
    <xf numFmtId="2" fontId="8" fillId="9" borderId="16" xfId="2" applyNumberFormat="1" applyFont="1" applyFill="1" applyBorder="1" applyAlignment="1">
      <alignment horizontal="center" vertical="center" wrapText="1"/>
    </xf>
    <xf numFmtId="0" fontId="21" fillId="0" borderId="0" xfId="0" applyFont="1"/>
    <xf numFmtId="2" fontId="8" fillId="9" borderId="21" xfId="2" applyNumberFormat="1" applyFont="1" applyFill="1" applyBorder="1" applyAlignment="1">
      <alignment horizontal="center" vertical="center" wrapText="1"/>
    </xf>
    <xf numFmtId="0" fontId="10" fillId="0" borderId="0" xfId="1" applyFont="1" applyAlignment="1">
      <alignment horizontal="left" wrapText="1"/>
    </xf>
    <xf numFmtId="2" fontId="0" fillId="11" borderId="51" xfId="0" applyNumberFormat="1" applyFill="1" applyBorder="1" applyAlignment="1">
      <alignment horizontal="center" vertical="center"/>
    </xf>
    <xf numFmtId="0" fontId="0" fillId="0" borderId="0" xfId="0" applyAlignment="1">
      <alignment horizontal="center" vertical="center"/>
    </xf>
    <xf numFmtId="0" fontId="10" fillId="0" borderId="0" xfId="0" applyFont="1"/>
    <xf numFmtId="0" fontId="0" fillId="0" borderId="7" xfId="0" applyBorder="1"/>
    <xf numFmtId="0" fontId="0" fillId="0" borderId="71" xfId="0" applyBorder="1"/>
    <xf numFmtId="0" fontId="0" fillId="0" borderId="74" xfId="0" applyBorder="1"/>
    <xf numFmtId="0" fontId="0" fillId="0" borderId="72" xfId="0" applyBorder="1"/>
    <xf numFmtId="0" fontId="0" fillId="0" borderId="73" xfId="0" applyBorder="1"/>
    <xf numFmtId="0" fontId="0" fillId="0" borderId="0" xfId="0" applyAlignment="1">
      <alignment vertical="center"/>
    </xf>
    <xf numFmtId="0" fontId="0" fillId="0" borderId="7" xfId="0" applyBorder="1" applyAlignment="1">
      <alignment horizontal="center" vertical="center" wrapText="1"/>
    </xf>
    <xf numFmtId="0" fontId="0" fillId="0" borderId="0" xfId="0" applyAlignment="1">
      <alignment horizontal="center" vertical="center" wrapText="1"/>
    </xf>
    <xf numFmtId="0" fontId="0" fillId="0" borderId="71" xfId="0" applyBorder="1" applyAlignment="1">
      <alignment horizontal="center" vertical="center" wrapText="1"/>
    </xf>
    <xf numFmtId="0" fontId="0" fillId="0" borderId="0" xfId="0" applyAlignment="1">
      <alignment horizontal="center" wrapText="1"/>
    </xf>
    <xf numFmtId="0" fontId="0" fillId="0" borderId="7" xfId="0" applyBorder="1" applyAlignment="1">
      <alignment vertical="center"/>
    </xf>
    <xf numFmtId="0" fontId="0" fillId="0" borderId="71" xfId="0" applyBorder="1" applyAlignment="1">
      <alignment vertical="center"/>
    </xf>
    <xf numFmtId="0" fontId="0" fillId="0" borderId="0" xfId="0" applyAlignment="1">
      <alignment wrapText="1"/>
    </xf>
    <xf numFmtId="0" fontId="26" fillId="0" borderId="0" xfId="5" applyBorder="1" applyProtection="1"/>
    <xf numFmtId="0" fontId="0" fillId="0" borderId="0" xfId="0" applyAlignment="1">
      <alignment horizontal="right"/>
    </xf>
    <xf numFmtId="0" fontId="8" fillId="0" borderId="3" xfId="0" applyFont="1" applyBorder="1" applyAlignment="1">
      <alignment vertical="center"/>
    </xf>
    <xf numFmtId="0" fontId="8" fillId="0" borderId="0" xfId="3" applyFont="1" applyAlignment="1">
      <alignment vertical="center" wrapText="1"/>
    </xf>
    <xf numFmtId="0" fontId="0" fillId="14" borderId="1" xfId="0" applyFill="1" applyBorder="1"/>
    <xf numFmtId="0" fontId="0" fillId="14" borderId="1" xfId="0" applyFill="1" applyBorder="1" applyAlignment="1">
      <alignment horizontal="center" wrapText="1"/>
    </xf>
    <xf numFmtId="0" fontId="0" fillId="14" borderId="1" xfId="0" applyFill="1" applyBorder="1" applyAlignment="1">
      <alignment horizontal="center"/>
    </xf>
    <xf numFmtId="0" fontId="6" fillId="0" borderId="0" xfId="2" applyFont="1" applyAlignment="1">
      <alignment horizontal="center" vertical="center" wrapText="1"/>
    </xf>
    <xf numFmtId="165" fontId="0" fillId="0" borderId="7" xfId="0" applyNumberFormat="1" applyBorder="1" applyAlignment="1">
      <alignment horizontal="center" vertical="center"/>
    </xf>
    <xf numFmtId="0" fontId="0" fillId="14" borderId="3" xfId="0" applyFill="1" applyBorder="1" applyAlignment="1">
      <alignment horizontal="center"/>
    </xf>
    <xf numFmtId="0" fontId="0" fillId="0" borderId="28" xfId="0" applyBorder="1" applyAlignment="1">
      <alignment horizontal="center"/>
    </xf>
    <xf numFmtId="0" fontId="10" fillId="0" borderId="7" xfId="0" applyFont="1" applyBorder="1"/>
    <xf numFmtId="0" fontId="10" fillId="7" borderId="28" xfId="3" applyFont="1" applyFill="1" applyBorder="1" applyAlignment="1">
      <alignment horizontal="left" vertical="center" wrapText="1"/>
    </xf>
    <xf numFmtId="0" fontId="10" fillId="0" borderId="28" xfId="3" applyFont="1" applyBorder="1" applyAlignment="1">
      <alignment horizontal="left" vertical="center" wrapText="1"/>
    </xf>
    <xf numFmtId="2" fontId="5" fillId="6" borderId="9" xfId="3" applyNumberFormat="1" applyFont="1" applyFill="1" applyBorder="1" applyAlignment="1">
      <alignment horizontal="center" vertical="center"/>
    </xf>
    <xf numFmtId="164" fontId="5" fillId="6" borderId="9" xfId="3" applyNumberFormat="1" applyFont="1" applyFill="1" applyBorder="1" applyAlignment="1">
      <alignment horizontal="center" vertical="center"/>
    </xf>
    <xf numFmtId="0" fontId="35" fillId="5" borderId="1" xfId="0" applyFont="1" applyFill="1" applyBorder="1" applyAlignment="1" applyProtection="1">
      <alignment horizontal="center" vertical="center"/>
      <protection locked="0"/>
    </xf>
    <xf numFmtId="0" fontId="0" fillId="0" borderId="31" xfId="0" applyBorder="1" applyAlignment="1">
      <alignment horizontal="center"/>
    </xf>
    <xf numFmtId="0" fontId="0" fillId="0" borderId="1" xfId="0" applyBorder="1" applyAlignment="1">
      <alignment horizontal="center" wrapText="1"/>
    </xf>
    <xf numFmtId="0" fontId="8" fillId="0" borderId="41" xfId="3" applyFont="1" applyBorder="1" applyAlignment="1">
      <alignment horizontal="left" vertical="center" wrapText="1"/>
    </xf>
    <xf numFmtId="0" fontId="0" fillId="14" borderId="28" xfId="0" applyFill="1" applyBorder="1"/>
    <xf numFmtId="0" fontId="0" fillId="0" borderId="28" xfId="0" applyBorder="1"/>
    <xf numFmtId="165" fontId="0" fillId="14" borderId="1" xfId="0" applyNumberFormat="1" applyFill="1" applyBorder="1" applyAlignment="1">
      <alignment horizontal="center" vertical="center"/>
    </xf>
    <xf numFmtId="0" fontId="5" fillId="5" borderId="4" xfId="1" applyFont="1" applyFill="1" applyBorder="1" applyAlignment="1">
      <alignment vertical="center" wrapText="1"/>
    </xf>
    <xf numFmtId="0" fontId="5" fillId="5" borderId="2" xfId="1" applyFont="1" applyFill="1" applyBorder="1" applyAlignment="1">
      <alignment vertical="center" wrapText="1"/>
    </xf>
    <xf numFmtId="0" fontId="7" fillId="4" borderId="6" xfId="2" applyFont="1" applyFill="1" applyBorder="1" applyAlignment="1">
      <alignment horizontal="center" vertical="center" wrapText="1"/>
    </xf>
    <xf numFmtId="0" fontId="36" fillId="4" borderId="51" xfId="2" applyFont="1" applyFill="1" applyBorder="1" applyAlignment="1">
      <alignment horizontal="center" vertical="center" wrapText="1"/>
    </xf>
    <xf numFmtId="0" fontId="36" fillId="4" borderId="81" xfId="2" applyFont="1" applyFill="1" applyBorder="1" applyAlignment="1">
      <alignment horizontal="center" vertical="center" wrapText="1"/>
    </xf>
    <xf numFmtId="165" fontId="8" fillId="0" borderId="1" xfId="2" applyNumberFormat="1" applyFont="1" applyBorder="1" applyAlignment="1">
      <alignment horizontal="center" vertical="center" wrapText="1"/>
    </xf>
    <xf numFmtId="0" fontId="8" fillId="0" borderId="1" xfId="2" applyFont="1" applyBorder="1" applyAlignment="1">
      <alignment horizontal="center" vertical="center" wrapText="1"/>
    </xf>
    <xf numFmtId="165" fontId="8" fillId="0" borderId="82" xfId="2" applyNumberFormat="1" applyFont="1" applyBorder="1" applyAlignment="1">
      <alignment horizontal="center" vertical="center" wrapText="1"/>
    </xf>
    <xf numFmtId="0" fontId="8" fillId="0" borderId="82" xfId="2" applyFont="1" applyBorder="1" applyAlignment="1">
      <alignment horizontal="center" vertical="center" wrapText="1"/>
    </xf>
    <xf numFmtId="0" fontId="8" fillId="9" borderId="86" xfId="3" applyFont="1" applyFill="1" applyBorder="1" applyAlignment="1" applyProtection="1">
      <alignment vertical="center" wrapText="1"/>
      <protection locked="0"/>
    </xf>
    <xf numFmtId="2" fontId="8" fillId="0" borderId="87" xfId="3" applyNumberFormat="1" applyFont="1" applyBorder="1" applyAlignment="1">
      <alignment horizontal="center" vertical="center"/>
    </xf>
    <xf numFmtId="2" fontId="8" fillId="9" borderId="87" xfId="2" applyNumberFormat="1" applyFont="1" applyFill="1" applyBorder="1" applyAlignment="1">
      <alignment horizontal="center" vertical="center" wrapText="1"/>
    </xf>
    <xf numFmtId="164" fontId="8" fillId="0" borderId="87" xfId="2" applyNumberFormat="1" applyFont="1" applyBorder="1" applyAlignment="1">
      <alignment horizontal="center" vertical="center" wrapText="1"/>
    </xf>
    <xf numFmtId="165" fontId="8" fillId="0" borderId="87" xfId="2" applyNumberFormat="1" applyFont="1" applyBorder="1" applyAlignment="1">
      <alignment horizontal="center" vertical="center" wrapText="1"/>
    </xf>
    <xf numFmtId="0" fontId="8" fillId="0" borderId="87" xfId="2" applyFont="1" applyBorder="1" applyAlignment="1">
      <alignment horizontal="center" vertical="center" wrapText="1"/>
    </xf>
    <xf numFmtId="0" fontId="0" fillId="14" borderId="87" xfId="0" applyFill="1" applyBorder="1"/>
    <xf numFmtId="0" fontId="8" fillId="9" borderId="84" xfId="3" applyFont="1" applyFill="1" applyBorder="1" applyAlignment="1" applyProtection="1">
      <alignment vertical="center" wrapText="1"/>
      <protection locked="0"/>
    </xf>
    <xf numFmtId="2" fontId="8" fillId="0" borderId="1" xfId="3" applyNumberFormat="1" applyFont="1" applyBorder="1" applyAlignment="1">
      <alignment horizontal="center" vertical="center"/>
    </xf>
    <xf numFmtId="2" fontId="8" fillId="9" borderId="1" xfId="2" applyNumberFormat="1" applyFont="1" applyFill="1" applyBorder="1" applyAlignment="1">
      <alignment horizontal="center" vertical="center" wrapText="1"/>
    </xf>
    <xf numFmtId="164" fontId="8" fillId="0" borderId="1" xfId="2" applyNumberFormat="1" applyFont="1" applyBorder="1" applyAlignment="1">
      <alignment horizontal="center" vertical="center" wrapText="1"/>
    </xf>
    <xf numFmtId="0" fontId="8" fillId="9" borderId="83" xfId="3" applyFont="1" applyFill="1" applyBorder="1" applyAlignment="1" applyProtection="1">
      <alignment vertical="center" wrapText="1"/>
      <protection locked="0"/>
    </xf>
    <xf numFmtId="2" fontId="8" fillId="0" borderId="82" xfId="3" applyNumberFormat="1" applyFont="1" applyBorder="1" applyAlignment="1">
      <alignment horizontal="center" vertical="center"/>
    </xf>
    <xf numFmtId="2" fontId="8" fillId="9" borderId="82" xfId="2" applyNumberFormat="1" applyFont="1" applyFill="1" applyBorder="1" applyAlignment="1">
      <alignment horizontal="center" vertical="center" wrapText="1"/>
    </xf>
    <xf numFmtId="164" fontId="8" fillId="0" borderId="82" xfId="2" applyNumberFormat="1" applyFont="1" applyBorder="1" applyAlignment="1">
      <alignment horizontal="center" vertical="center" wrapText="1"/>
    </xf>
    <xf numFmtId="0" fontId="35" fillId="5" borderId="87" xfId="0" applyFont="1" applyFill="1" applyBorder="1" applyAlignment="1" applyProtection="1">
      <alignment horizontal="center" vertical="center"/>
      <protection locked="0"/>
    </xf>
    <xf numFmtId="0" fontId="5" fillId="4" borderId="9" xfId="2" applyFont="1" applyFill="1" applyBorder="1" applyAlignment="1">
      <alignment horizontal="center" vertical="center" wrapText="1"/>
    </xf>
    <xf numFmtId="0" fontId="0" fillId="14" borderId="38" xfId="0" applyFill="1" applyBorder="1"/>
    <xf numFmtId="0" fontId="0" fillId="14" borderId="1" xfId="0" applyFill="1" applyBorder="1" applyAlignment="1">
      <alignment wrapText="1"/>
    </xf>
    <xf numFmtId="2" fontId="0" fillId="0" borderId="0" xfId="0" applyNumberFormat="1"/>
    <xf numFmtId="0" fontId="8" fillId="8" borderId="28" xfId="0" applyFont="1" applyFill="1" applyBorder="1" applyAlignment="1">
      <alignment horizontal="center" vertical="center"/>
    </xf>
    <xf numFmtId="0" fontId="10" fillId="0" borderId="28" xfId="0" applyFont="1" applyBorder="1" applyAlignment="1">
      <alignment vertical="center" wrapText="1"/>
    </xf>
    <xf numFmtId="49" fontId="8" fillId="8" borderId="28" xfId="0" applyNumberFormat="1" applyFont="1" applyFill="1" applyBorder="1" applyAlignment="1">
      <alignment horizontal="center" vertical="center"/>
    </xf>
    <xf numFmtId="0" fontId="8" fillId="5" borderId="38" xfId="3" applyFont="1" applyFill="1" applyBorder="1" applyAlignment="1">
      <alignment vertical="center" wrapText="1"/>
    </xf>
    <xf numFmtId="0" fontId="8" fillId="8" borderId="28" xfId="3" applyFont="1" applyFill="1" applyBorder="1" applyAlignment="1">
      <alignment horizontal="center" vertical="center"/>
    </xf>
    <xf numFmtId="0" fontId="0" fillId="0" borderId="28" xfId="0" applyBorder="1" applyAlignment="1">
      <alignment vertical="center" wrapText="1"/>
    </xf>
    <xf numFmtId="0" fontId="8" fillId="5" borderId="28" xfId="3" applyFont="1" applyFill="1" applyBorder="1" applyAlignment="1">
      <alignment vertical="center" wrapText="1"/>
    </xf>
    <xf numFmtId="0" fontId="8" fillId="8" borderId="28" xfId="3" applyFont="1" applyFill="1" applyBorder="1" applyAlignment="1">
      <alignment horizontal="center" vertical="center" shrinkToFit="1"/>
    </xf>
    <xf numFmtId="0" fontId="8" fillId="0" borderId="0" xfId="3" quotePrefix="1" applyFont="1" applyAlignment="1" applyProtection="1">
      <alignment horizontal="center" vertical="center"/>
      <protection locked="0"/>
    </xf>
    <xf numFmtId="0" fontId="23" fillId="15" borderId="28" xfId="0" applyFont="1" applyFill="1" applyBorder="1" applyAlignment="1" applyProtection="1">
      <alignment horizontal="center" vertical="center"/>
      <protection locked="0"/>
    </xf>
    <xf numFmtId="2" fontId="8" fillId="15" borderId="34" xfId="2" applyNumberFormat="1" applyFont="1" applyFill="1" applyBorder="1" applyAlignment="1" applyProtection="1">
      <alignment horizontal="center" vertical="center" wrapText="1"/>
      <protection locked="0"/>
    </xf>
    <xf numFmtId="0" fontId="0" fillId="15" borderId="28" xfId="0" applyFill="1" applyBorder="1" applyAlignment="1" applyProtection="1">
      <alignment horizontal="center" vertical="center"/>
      <protection locked="0"/>
    </xf>
    <xf numFmtId="0" fontId="8" fillId="9" borderId="41" xfId="3" applyFont="1" applyFill="1" applyBorder="1" applyAlignment="1">
      <alignment horizontal="left" vertical="center" wrapText="1"/>
    </xf>
    <xf numFmtId="0" fontId="8" fillId="0" borderId="40" xfId="2" applyFont="1" applyBorder="1" applyAlignment="1">
      <alignment horizontal="center" vertical="center" wrapText="1"/>
    </xf>
    <xf numFmtId="0" fontId="0" fillId="9" borderId="28" xfId="0" applyFill="1" applyBorder="1"/>
    <xf numFmtId="0" fontId="20" fillId="0" borderId="3" xfId="0" applyFont="1" applyBorder="1" applyAlignment="1">
      <alignment horizontal="center" vertical="center"/>
    </xf>
    <xf numFmtId="10" fontId="0" fillId="0" borderId="0" xfId="0" applyNumberFormat="1"/>
    <xf numFmtId="0" fontId="0" fillId="15" borderId="28" xfId="0" applyFill="1" applyBorder="1" applyProtection="1">
      <protection locked="0"/>
    </xf>
    <xf numFmtId="0" fontId="20" fillId="0" borderId="2" xfId="0" applyFont="1" applyBorder="1" applyAlignment="1">
      <alignment horizontal="center" vertical="center"/>
    </xf>
    <xf numFmtId="0" fontId="41" fillId="0" borderId="3" xfId="0" applyFont="1" applyBorder="1" applyAlignment="1">
      <alignment horizontal="center" vertical="center"/>
    </xf>
    <xf numFmtId="0" fontId="42" fillId="0" borderId="2" xfId="0" applyFont="1" applyBorder="1" applyAlignment="1">
      <alignment horizontal="center" vertical="center"/>
    </xf>
    <xf numFmtId="2" fontId="5" fillId="6" borderId="28" xfId="3" applyNumberFormat="1" applyFont="1" applyFill="1" applyBorder="1" applyAlignment="1">
      <alignment horizontal="center" vertical="center"/>
    </xf>
    <xf numFmtId="0" fontId="9" fillId="6" borderId="9" xfId="3" applyFont="1" applyFill="1" applyBorder="1" applyAlignment="1">
      <alignment horizontal="center" vertical="center" wrapText="1"/>
    </xf>
    <xf numFmtId="164" fontId="8" fillId="0" borderId="28" xfId="3" applyNumberFormat="1" applyFont="1" applyBorder="1" applyAlignment="1">
      <alignment horizontal="center" vertical="center"/>
    </xf>
    <xf numFmtId="44" fontId="8" fillId="0" borderId="28" xfId="4" applyFont="1" applyFill="1" applyBorder="1" applyAlignment="1">
      <alignment horizontal="center" vertical="center"/>
    </xf>
    <xf numFmtId="0" fontId="20" fillId="0" borderId="28" xfId="0" applyFont="1" applyBorder="1" applyAlignment="1">
      <alignment horizontal="center" vertical="center"/>
    </xf>
    <xf numFmtId="0" fontId="10" fillId="7" borderId="28" xfId="3" applyFont="1" applyFill="1" applyBorder="1" applyAlignment="1">
      <alignment vertical="center" wrapText="1"/>
    </xf>
    <xf numFmtId="164" fontId="20" fillId="0" borderId="28" xfId="0" applyNumberFormat="1" applyFont="1" applyBorder="1" applyAlignment="1">
      <alignment horizontal="center" vertical="center"/>
    </xf>
    <xf numFmtId="0" fontId="0" fillId="0" borderId="28" xfId="0" applyBorder="1" applyAlignment="1">
      <alignment vertical="center"/>
    </xf>
    <xf numFmtId="0" fontId="39" fillId="0" borderId="0" xfId="3" applyFont="1" applyAlignment="1">
      <alignment horizontal="left" vertical="center" wrapText="1"/>
    </xf>
    <xf numFmtId="0" fontId="9" fillId="5" borderId="38" xfId="3" applyFont="1" applyFill="1" applyBorder="1" applyAlignment="1">
      <alignment vertical="center" wrapText="1"/>
    </xf>
    <xf numFmtId="0" fontId="9" fillId="5" borderId="28" xfId="3" applyFont="1" applyFill="1" applyBorder="1" applyAlignment="1">
      <alignment horizontal="center" vertical="center" wrapText="1"/>
    </xf>
    <xf numFmtId="0" fontId="9" fillId="6" borderId="28" xfId="3" applyFont="1" applyFill="1" applyBorder="1" applyAlignment="1">
      <alignment horizontal="center" vertical="center"/>
    </xf>
    <xf numFmtId="0" fontId="9" fillId="6" borderId="28" xfId="3" applyFont="1" applyFill="1" applyBorder="1" applyAlignment="1">
      <alignment horizontal="left" vertical="center"/>
    </xf>
    <xf numFmtId="49" fontId="8" fillId="8" borderId="28" xfId="3" applyNumberFormat="1" applyFont="1" applyFill="1" applyBorder="1" applyAlignment="1">
      <alignment horizontal="center" vertical="center" wrapText="1" shrinkToFit="1"/>
    </xf>
    <xf numFmtId="2" fontId="8" fillId="0" borderId="28" xfId="4" applyNumberFormat="1" applyFont="1" applyFill="1" applyBorder="1" applyAlignment="1">
      <alignment horizontal="center" vertical="center"/>
    </xf>
    <xf numFmtId="1" fontId="8" fillId="0" borderId="28" xfId="4" applyNumberFormat="1" applyFont="1" applyFill="1" applyBorder="1" applyAlignment="1">
      <alignment horizontal="center" vertical="center"/>
    </xf>
    <xf numFmtId="1" fontId="8" fillId="0" borderId="28" xfId="3" applyNumberFormat="1" applyFont="1" applyBorder="1" applyAlignment="1">
      <alignment horizontal="center" vertical="center"/>
    </xf>
    <xf numFmtId="0" fontId="0" fillId="0" borderId="0" xfId="0" applyAlignment="1">
      <alignment horizontal="center"/>
    </xf>
    <xf numFmtId="0" fontId="0" fillId="0" borderId="42" xfId="0" applyBorder="1"/>
    <xf numFmtId="0" fontId="0" fillId="0" borderId="44" xfId="0" applyBorder="1"/>
    <xf numFmtId="0" fontId="0" fillId="0" borderId="45" xfId="0" applyBorder="1"/>
    <xf numFmtId="0" fontId="0" fillId="0" borderId="39" xfId="0" applyBorder="1" applyAlignment="1">
      <alignment horizontal="center"/>
    </xf>
    <xf numFmtId="0" fontId="0" fillId="0" borderId="3" xfId="0" applyBorder="1"/>
    <xf numFmtId="0" fontId="0" fillId="0" borderId="2" xfId="0" applyBorder="1"/>
    <xf numFmtId="167" fontId="0" fillId="0" borderId="1" xfId="0" applyNumberFormat="1" applyBorder="1" applyAlignment="1">
      <alignment horizontal="center" vertical="center"/>
    </xf>
    <xf numFmtId="0" fontId="7" fillId="4" borderId="16" xfId="2" applyFont="1" applyFill="1" applyBorder="1" applyAlignment="1">
      <alignment horizontal="center" vertical="center" wrapText="1"/>
    </xf>
    <xf numFmtId="0" fontId="0" fillId="0" borderId="7" xfId="0" applyBorder="1" applyAlignment="1">
      <alignment vertical="center" wrapText="1"/>
    </xf>
    <xf numFmtId="0" fontId="0" fillId="0" borderId="0" xfId="0" applyAlignment="1">
      <alignment vertical="center" wrapText="1"/>
    </xf>
    <xf numFmtId="0" fontId="45" fillId="4" borderId="1" xfId="2" applyFont="1" applyFill="1" applyBorder="1" applyAlignment="1">
      <alignment horizontal="center" vertical="center" wrapText="1"/>
    </xf>
    <xf numFmtId="0" fontId="45" fillId="4" borderId="41" xfId="2" applyFont="1" applyFill="1" applyBorder="1" applyAlignment="1">
      <alignment horizontal="center" vertical="center" wrapText="1"/>
    </xf>
    <xf numFmtId="0" fontId="0" fillId="0" borderId="2" xfId="0" applyBorder="1" applyAlignment="1">
      <alignment horizontal="center"/>
    </xf>
    <xf numFmtId="0" fontId="45" fillId="4" borderId="32" xfId="2" applyFont="1" applyFill="1" applyBorder="1" applyAlignment="1">
      <alignment horizontal="center" vertical="center" wrapText="1"/>
    </xf>
    <xf numFmtId="0" fontId="45" fillId="4" borderId="35" xfId="2" applyFont="1" applyFill="1" applyBorder="1" applyAlignment="1">
      <alignment horizontal="center" vertical="center" wrapText="1"/>
    </xf>
    <xf numFmtId="0" fontId="45" fillId="4" borderId="33" xfId="2" applyFont="1" applyFill="1" applyBorder="1" applyAlignment="1">
      <alignment horizontal="center" vertical="center" wrapText="1"/>
    </xf>
    <xf numFmtId="0" fontId="45" fillId="4" borderId="36" xfId="2" applyFont="1" applyFill="1" applyBorder="1" applyAlignment="1">
      <alignment horizontal="center" vertical="center" wrapText="1"/>
    </xf>
    <xf numFmtId="165" fontId="8" fillId="0" borderId="91" xfId="2" applyNumberFormat="1" applyFont="1" applyBorder="1" applyAlignment="1">
      <alignment horizontal="center" vertical="center" wrapText="1"/>
    </xf>
    <xf numFmtId="165" fontId="8" fillId="0" borderId="15" xfId="2" applyNumberFormat="1" applyFont="1" applyBorder="1" applyAlignment="1">
      <alignment horizontal="center" vertical="center" wrapText="1"/>
    </xf>
    <xf numFmtId="165" fontId="8" fillId="0" borderId="65" xfId="2" applyNumberFormat="1" applyFont="1" applyBorder="1" applyAlignment="1">
      <alignment horizontal="center" vertical="center" wrapText="1"/>
    </xf>
    <xf numFmtId="165" fontId="0" fillId="0" borderId="1" xfId="0" applyNumberFormat="1" applyBorder="1" applyAlignment="1">
      <alignment horizontal="center" vertical="center"/>
    </xf>
    <xf numFmtId="10" fontId="0" fillId="0" borderId="1" xfId="0" applyNumberFormat="1" applyBorder="1"/>
    <xf numFmtId="2" fontId="8" fillId="15" borderId="12" xfId="2" applyNumberFormat="1" applyFont="1" applyFill="1" applyBorder="1" applyAlignment="1" applyProtection="1">
      <alignment horizontal="center" vertical="center" wrapText="1"/>
      <protection locked="0"/>
    </xf>
    <xf numFmtId="0" fontId="0" fillId="0" borderId="76" xfId="0" applyBorder="1"/>
    <xf numFmtId="2" fontId="8" fillId="15" borderId="99" xfId="2" applyNumberFormat="1" applyFont="1" applyFill="1" applyBorder="1" applyAlignment="1" applyProtection="1">
      <alignment horizontal="center" vertical="center" wrapText="1"/>
      <protection locked="0"/>
    </xf>
    <xf numFmtId="2" fontId="8" fillId="15" borderId="100" xfId="2" applyNumberFormat="1" applyFont="1" applyFill="1" applyBorder="1" applyAlignment="1" applyProtection="1">
      <alignment horizontal="center" vertical="center" wrapText="1"/>
      <protection locked="0"/>
    </xf>
    <xf numFmtId="2" fontId="8" fillId="15" borderId="101" xfId="2" applyNumberFormat="1" applyFont="1" applyFill="1" applyBorder="1" applyAlignment="1" applyProtection="1">
      <alignment horizontal="center" vertical="center" wrapText="1"/>
      <protection locked="0"/>
    </xf>
    <xf numFmtId="2" fontId="8" fillId="9" borderId="103" xfId="2" applyNumberFormat="1" applyFont="1" applyFill="1" applyBorder="1" applyAlignment="1" applyProtection="1">
      <alignment horizontal="center" vertical="center" wrapText="1"/>
      <protection locked="0"/>
    </xf>
    <xf numFmtId="2" fontId="8" fillId="9" borderId="102" xfId="2" applyNumberFormat="1" applyFont="1" applyFill="1" applyBorder="1" applyAlignment="1" applyProtection="1">
      <alignment horizontal="center" vertical="center" wrapText="1"/>
      <protection locked="0"/>
    </xf>
    <xf numFmtId="2" fontId="8" fillId="15" borderId="102" xfId="2" applyNumberFormat="1" applyFont="1" applyFill="1" applyBorder="1" applyAlignment="1" applyProtection="1">
      <alignment horizontal="center" vertical="center" wrapText="1"/>
      <protection locked="0"/>
    </xf>
    <xf numFmtId="0" fontId="5" fillId="6" borderId="9" xfId="3" applyFont="1" applyFill="1" applyBorder="1" applyAlignment="1">
      <alignment horizontal="center" vertical="center" wrapText="1"/>
    </xf>
    <xf numFmtId="0" fontId="5" fillId="6" borderId="5" xfId="3" applyFont="1" applyFill="1" applyBorder="1" applyAlignment="1">
      <alignment horizontal="center" vertical="center"/>
    </xf>
    <xf numFmtId="0" fontId="8" fillId="6" borderId="28" xfId="3" applyFont="1" applyFill="1" applyBorder="1" applyAlignment="1">
      <alignment horizontal="left" vertical="center" wrapText="1"/>
    </xf>
    <xf numFmtId="4" fontId="20" fillId="0" borderId="28" xfId="0" applyNumberFormat="1" applyFont="1" applyBorder="1" applyAlignment="1">
      <alignment horizontal="center" vertical="center"/>
    </xf>
    <xf numFmtId="0" fontId="10" fillId="7" borderId="28" xfId="3" applyFont="1" applyFill="1" applyBorder="1" applyAlignment="1">
      <alignment horizontal="left" vertical="center"/>
    </xf>
    <xf numFmtId="0" fontId="8" fillId="6" borderId="9" xfId="3" applyFont="1" applyFill="1" applyBorder="1" applyAlignment="1">
      <alignment horizontal="left" vertical="center" wrapText="1"/>
    </xf>
    <xf numFmtId="0" fontId="8" fillId="8" borderId="9" xfId="3" applyFont="1" applyFill="1" applyBorder="1" applyAlignment="1">
      <alignment horizontal="center" vertical="center"/>
    </xf>
    <xf numFmtId="0" fontId="20" fillId="0" borderId="9" xfId="0" applyFont="1" applyBorder="1" applyAlignment="1">
      <alignment horizontal="center" vertical="center"/>
    </xf>
    <xf numFmtId="4" fontId="20" fillId="0" borderId="9" xfId="0" applyNumberFormat="1" applyFont="1" applyBorder="1" applyAlignment="1">
      <alignment horizontal="center" vertical="center"/>
    </xf>
    <xf numFmtId="0" fontId="5" fillId="6" borderId="28" xfId="3" applyFont="1" applyFill="1" applyBorder="1" applyAlignment="1">
      <alignment horizontal="left" vertical="center"/>
    </xf>
    <xf numFmtId="0" fontId="39" fillId="0" borderId="76" xfId="3" applyFont="1" applyBorder="1" applyAlignment="1">
      <alignment horizontal="left" vertical="center" wrapText="1"/>
    </xf>
    <xf numFmtId="2" fontId="8" fillId="0" borderId="28" xfId="0" applyNumberFormat="1" applyFont="1" applyBorder="1" applyAlignment="1">
      <alignment horizontal="center" vertical="center"/>
    </xf>
    <xf numFmtId="164" fontId="8" fillId="0" borderId="28" xfId="0" applyNumberFormat="1" applyFont="1" applyBorder="1" applyAlignment="1">
      <alignment horizontal="center" vertical="center"/>
    </xf>
    <xf numFmtId="0" fontId="5" fillId="6" borderId="6" xfId="3" applyFont="1" applyFill="1" applyBorder="1" applyAlignment="1">
      <alignment horizontal="left" vertical="center" wrapText="1"/>
    </xf>
    <xf numFmtId="0" fontId="9" fillId="6" borderId="9" xfId="3" applyFont="1" applyFill="1" applyBorder="1" applyAlignment="1">
      <alignment horizontal="center" vertical="center"/>
    </xf>
    <xf numFmtId="44" fontId="5" fillId="6" borderId="28" xfId="4" applyFont="1" applyFill="1" applyBorder="1" applyAlignment="1">
      <alignment horizontal="center" vertical="center"/>
    </xf>
    <xf numFmtId="2" fontId="8" fillId="9" borderId="64" xfId="3" applyNumberFormat="1" applyFont="1" applyFill="1" applyBorder="1" applyAlignment="1" applyProtection="1">
      <alignment horizontal="center" vertical="center" wrapText="1"/>
      <protection locked="0"/>
    </xf>
    <xf numFmtId="2" fontId="8" fillId="9" borderId="104" xfId="2" applyNumberFormat="1" applyFont="1" applyFill="1" applyBorder="1" applyAlignment="1" applyProtection="1">
      <alignment horizontal="center" vertical="center" wrapText="1"/>
      <protection locked="0"/>
    </xf>
    <xf numFmtId="0" fontId="0" fillId="0" borderId="8" xfId="0" applyBorder="1"/>
    <xf numFmtId="0" fontId="45" fillId="4" borderId="8" xfId="2" applyFont="1" applyFill="1" applyBorder="1" applyAlignment="1">
      <alignment horizontal="center" vertical="center" wrapText="1"/>
    </xf>
    <xf numFmtId="0" fontId="49" fillId="4" borderId="8" xfId="2" applyFont="1" applyFill="1" applyBorder="1" applyAlignment="1">
      <alignment horizontal="center" vertical="center" wrapText="1"/>
    </xf>
    <xf numFmtId="0" fontId="49" fillId="4" borderId="6" xfId="2" applyFont="1" applyFill="1" applyBorder="1" applyAlignment="1">
      <alignment horizontal="center" vertical="center" wrapText="1"/>
    </xf>
    <xf numFmtId="0" fontId="45" fillId="4" borderId="10" xfId="2" applyFont="1" applyFill="1" applyBorder="1" applyAlignment="1">
      <alignment horizontal="center" vertical="center" wrapText="1"/>
    </xf>
    <xf numFmtId="0" fontId="45" fillId="4" borderId="11" xfId="2" applyFont="1" applyFill="1" applyBorder="1" applyAlignment="1">
      <alignment horizontal="center" vertical="center" wrapText="1"/>
    </xf>
    <xf numFmtId="0" fontId="45" fillId="4" borderId="79" xfId="2" applyFont="1" applyFill="1" applyBorder="1" applyAlignment="1">
      <alignment horizontal="center" vertical="center" wrapText="1"/>
    </xf>
    <xf numFmtId="0" fontId="45" fillId="4" borderId="80" xfId="2" applyFont="1" applyFill="1" applyBorder="1" applyAlignment="1">
      <alignment horizontal="center" vertical="center" wrapText="1"/>
    </xf>
    <xf numFmtId="0" fontId="10" fillId="0" borderId="9" xfId="3" applyFont="1" applyBorder="1" applyAlignment="1">
      <alignment horizontal="left" vertical="center" wrapText="1"/>
    </xf>
    <xf numFmtId="0" fontId="49" fillId="4" borderId="10" xfId="2" applyFont="1" applyFill="1" applyBorder="1" applyAlignment="1">
      <alignment horizontal="center" vertical="center" wrapText="1"/>
    </xf>
    <xf numFmtId="0" fontId="5" fillId="5" borderId="3" xfId="1" applyFont="1" applyFill="1" applyBorder="1" applyAlignment="1">
      <alignment vertical="center" wrapText="1"/>
    </xf>
    <xf numFmtId="44" fontId="19" fillId="6" borderId="9" xfId="4" applyFont="1" applyFill="1" applyBorder="1" applyAlignment="1">
      <alignment horizontal="center" vertical="center" wrapText="1"/>
    </xf>
    <xf numFmtId="0" fontId="39" fillId="0" borderId="38" xfId="3" applyFont="1" applyBorder="1" applyAlignment="1">
      <alignment horizontal="left" vertical="center" wrapText="1"/>
    </xf>
    <xf numFmtId="0" fontId="39" fillId="0" borderId="5" xfId="3" applyFont="1" applyBorder="1" applyAlignment="1">
      <alignment horizontal="left" vertical="center" wrapText="1"/>
    </xf>
    <xf numFmtId="0" fontId="39" fillId="0" borderId="76" xfId="3" applyFont="1" applyBorder="1" applyAlignment="1">
      <alignment vertical="center" wrapText="1"/>
    </xf>
    <xf numFmtId="0" fontId="5" fillId="5" borderId="38" xfId="0" applyFont="1" applyFill="1" applyBorder="1" applyAlignment="1">
      <alignment horizontal="left" vertical="center" wrapText="1"/>
    </xf>
    <xf numFmtId="0" fontId="5" fillId="6" borderId="9" xfId="0" applyFont="1" applyFill="1" applyBorder="1" applyAlignment="1">
      <alignment horizontal="center" vertical="center"/>
    </xf>
    <xf numFmtId="0" fontId="3" fillId="6" borderId="9" xfId="3" applyFont="1" applyFill="1" applyBorder="1" applyAlignment="1">
      <alignment horizontal="center" vertical="center" wrapText="1"/>
    </xf>
    <xf numFmtId="49" fontId="8" fillId="8" borderId="28" xfId="3" applyNumberFormat="1" applyFont="1" applyFill="1" applyBorder="1" applyAlignment="1">
      <alignment horizontal="center" vertical="center" shrinkToFit="1"/>
    </xf>
    <xf numFmtId="0" fontId="3" fillId="6" borderId="28" xfId="3" applyFont="1" applyFill="1" applyBorder="1" applyAlignment="1">
      <alignment horizontal="center" vertical="center" wrapText="1"/>
    </xf>
    <xf numFmtId="0" fontId="10" fillId="0" borderId="28" xfId="3" applyFont="1" applyBorder="1" applyAlignment="1">
      <alignment wrapText="1"/>
    </xf>
    <xf numFmtId="164" fontId="10" fillId="0" borderId="0" xfId="1" applyNumberFormat="1" applyFont="1"/>
    <xf numFmtId="0" fontId="10" fillId="0" borderId="0" xfId="1" applyFont="1" applyAlignment="1">
      <alignment horizontal="center"/>
    </xf>
    <xf numFmtId="164" fontId="10" fillId="0" borderId="0" xfId="1" applyNumberFormat="1" applyFont="1" applyAlignment="1">
      <alignment horizontal="center"/>
    </xf>
    <xf numFmtId="2" fontId="0" fillId="0" borderId="0" xfId="0" applyNumberFormat="1" applyAlignment="1">
      <alignment horizontal="center" vertical="center"/>
    </xf>
    <xf numFmtId="168" fontId="15" fillId="4" borderId="80" xfId="2" applyNumberFormat="1" applyFont="1" applyFill="1" applyBorder="1" applyAlignment="1" applyProtection="1">
      <alignment horizontal="center" vertical="center" wrapText="1"/>
      <protection locked="0"/>
    </xf>
    <xf numFmtId="2" fontId="8" fillId="0" borderId="105" xfId="3" applyNumberFormat="1" applyFont="1" applyBorder="1" applyAlignment="1">
      <alignment horizontal="center" vertical="center"/>
    </xf>
    <xf numFmtId="0" fontId="0" fillId="14" borderId="2" xfId="0" applyFill="1" applyBorder="1" applyAlignment="1">
      <alignment horizontal="center" vertical="center"/>
    </xf>
    <xf numFmtId="0" fontId="9" fillId="16" borderId="1" xfId="2" applyFont="1" applyFill="1" applyBorder="1" applyAlignment="1" applyProtection="1">
      <alignment horizontal="center" vertical="center" wrapText="1"/>
      <protection locked="0"/>
    </xf>
    <xf numFmtId="0" fontId="0" fillId="0" borderId="1" xfId="0" applyBorder="1" applyAlignment="1">
      <alignment horizontal="center" vertical="center"/>
    </xf>
    <xf numFmtId="0" fontId="0" fillId="0" borderId="88" xfId="0" applyBorder="1" applyAlignment="1">
      <alignment horizontal="center" vertical="center"/>
    </xf>
    <xf numFmtId="0" fontId="0" fillId="0" borderId="1" xfId="0" applyBorder="1" applyAlignment="1">
      <alignment horizontal="center"/>
    </xf>
    <xf numFmtId="168" fontId="15" fillId="4" borderId="87" xfId="2" applyNumberFormat="1" applyFont="1" applyFill="1" applyBorder="1" applyAlignment="1" applyProtection="1">
      <alignment horizontal="center" vertical="center" wrapText="1"/>
      <protection locked="0"/>
    </xf>
    <xf numFmtId="2" fontId="8" fillId="0" borderId="85" xfId="2" applyNumberFormat="1" applyFont="1" applyBorder="1" applyAlignment="1">
      <alignment horizontal="center" vertical="center" wrapText="1"/>
    </xf>
    <xf numFmtId="2" fontId="8" fillId="0" borderId="36" xfId="2" applyNumberFormat="1" applyFont="1" applyBorder="1" applyAlignment="1">
      <alignment horizontal="center" vertical="center" wrapText="1"/>
    </xf>
    <xf numFmtId="2" fontId="8" fillId="0" borderId="95" xfId="2" applyNumberFormat="1" applyFont="1" applyBorder="1" applyAlignment="1">
      <alignment horizontal="center" vertical="center" wrapText="1"/>
    </xf>
    <xf numFmtId="2" fontId="8" fillId="0" borderId="96" xfId="2" applyNumberFormat="1" applyFont="1" applyBorder="1" applyAlignment="1">
      <alignment horizontal="center" vertical="center" wrapText="1"/>
    </xf>
    <xf numFmtId="2" fontId="8" fillId="0" borderId="97" xfId="2" applyNumberFormat="1" applyFont="1" applyBorder="1" applyAlignment="1">
      <alignment horizontal="center" vertical="center" wrapText="1"/>
    </xf>
    <xf numFmtId="2" fontId="8" fillId="0" borderId="50" xfId="2" applyNumberFormat="1" applyFont="1" applyBorder="1" applyAlignment="1">
      <alignment horizontal="center" vertical="center" wrapText="1"/>
    </xf>
    <xf numFmtId="2" fontId="8" fillId="0" borderId="98" xfId="2" applyNumberFormat="1" applyFont="1" applyBorder="1" applyAlignment="1">
      <alignment horizontal="center" vertical="center" wrapText="1"/>
    </xf>
    <xf numFmtId="2" fontId="8" fillId="0" borderId="67" xfId="2" applyNumberFormat="1" applyFont="1" applyBorder="1" applyAlignment="1">
      <alignment horizontal="center" vertical="center" wrapText="1"/>
    </xf>
    <xf numFmtId="165" fontId="23" fillId="15" borderId="2" xfId="0" applyNumberFormat="1" applyFont="1" applyFill="1" applyBorder="1" applyAlignment="1">
      <alignment horizontal="center" vertical="center"/>
    </xf>
    <xf numFmtId="166" fontId="0" fillId="11" borderId="51" xfId="0" applyNumberFormat="1" applyFill="1" applyBorder="1" applyAlignment="1">
      <alignment horizontal="center" vertical="center"/>
    </xf>
    <xf numFmtId="165" fontId="0" fillId="11" borderId="51" xfId="0" applyNumberFormat="1" applyFill="1" applyBorder="1" applyAlignment="1">
      <alignment horizontal="center" vertical="center"/>
    </xf>
    <xf numFmtId="165" fontId="0" fillId="15" borderId="2" xfId="0" applyNumberFormat="1" applyFill="1" applyBorder="1" applyAlignment="1">
      <alignment horizontal="center" vertical="center"/>
    </xf>
    <xf numFmtId="169" fontId="0" fillId="0" borderId="2" xfId="0" applyNumberFormat="1" applyBorder="1" applyAlignment="1">
      <alignment horizontal="center" vertical="center"/>
    </xf>
    <xf numFmtId="164" fontId="8" fillId="0" borderId="18" xfId="2" applyNumberFormat="1" applyFont="1" applyBorder="1" applyAlignment="1">
      <alignment horizontal="center" vertical="center" wrapText="1"/>
    </xf>
    <xf numFmtId="164" fontId="8" fillId="0" borderId="60" xfId="2" applyNumberFormat="1" applyFont="1" applyBorder="1" applyAlignment="1">
      <alignment horizontal="center" vertical="center" wrapText="1"/>
    </xf>
    <xf numFmtId="164" fontId="8" fillId="0" borderId="62" xfId="2" applyNumberFormat="1" applyFont="1" applyBorder="1" applyAlignment="1">
      <alignment horizontal="center" vertical="center" wrapText="1"/>
    </xf>
    <xf numFmtId="164" fontId="8" fillId="0" borderId="67" xfId="2" applyNumberFormat="1" applyFont="1" applyBorder="1" applyAlignment="1">
      <alignment horizontal="center" vertical="center" wrapText="1"/>
    </xf>
    <xf numFmtId="0" fontId="10" fillId="5" borderId="38" xfId="3" applyFont="1" applyFill="1" applyBorder="1" applyAlignment="1">
      <alignment vertical="center" wrapText="1"/>
    </xf>
    <xf numFmtId="0" fontId="3" fillId="8" borderId="28" xfId="3" applyFont="1" applyFill="1" applyBorder="1" applyAlignment="1">
      <alignment horizontal="center" vertical="center"/>
    </xf>
    <xf numFmtId="2" fontId="3" fillId="0" borderId="28" xfId="3" applyNumberFormat="1" applyFont="1" applyBorder="1" applyAlignment="1">
      <alignment horizontal="center" vertical="center"/>
    </xf>
    <xf numFmtId="0" fontId="8" fillId="7" borderId="28" xfId="3" applyFont="1" applyFill="1" applyBorder="1" applyAlignment="1">
      <alignment horizontal="left" vertical="center" wrapText="1"/>
    </xf>
    <xf numFmtId="0" fontId="8" fillId="7" borderId="9" xfId="3" applyFont="1" applyFill="1" applyBorder="1" applyAlignment="1">
      <alignment horizontal="left" vertical="center" wrapText="1"/>
    </xf>
    <xf numFmtId="0" fontId="8" fillId="7" borderId="31" xfId="3" applyFont="1" applyFill="1" applyBorder="1" applyAlignment="1">
      <alignment horizontal="left" vertical="center" wrapText="1"/>
    </xf>
    <xf numFmtId="0" fontId="20" fillId="0" borderId="44" xfId="0" applyFont="1" applyBorder="1" applyAlignment="1">
      <alignment horizontal="center" vertical="center" wrapText="1"/>
    </xf>
    <xf numFmtId="0" fontId="37" fillId="0" borderId="1" xfId="0" applyFont="1" applyBorder="1" applyAlignment="1">
      <alignment vertical="center" wrapText="1"/>
    </xf>
    <xf numFmtId="0" fontId="20" fillId="0" borderId="1" xfId="0" applyFont="1" applyBorder="1" applyAlignment="1">
      <alignment horizontal="center" vertical="center" wrapText="1"/>
    </xf>
    <xf numFmtId="168" fontId="19" fillId="9" borderId="109" xfId="3" quotePrefix="1" applyNumberFormat="1" applyFont="1" applyFill="1" applyBorder="1" applyAlignment="1" applyProtection="1">
      <alignment horizontal="center" vertical="center"/>
      <protection locked="0"/>
    </xf>
    <xf numFmtId="0" fontId="0" fillId="0" borderId="79" xfId="0" applyBorder="1" applyAlignment="1">
      <alignment horizontal="center"/>
    </xf>
    <xf numFmtId="0" fontId="0" fillId="0" borderId="88" xfId="0" applyBorder="1" applyAlignment="1">
      <alignment horizontal="center"/>
    </xf>
    <xf numFmtId="0" fontId="0" fillId="0" borderId="51" xfId="0" applyBorder="1" applyAlignment="1">
      <alignment horizontal="center"/>
    </xf>
    <xf numFmtId="2" fontId="8" fillId="9" borderId="111" xfId="3" applyNumberFormat="1" applyFont="1" applyFill="1" applyBorder="1" applyAlignment="1" applyProtection="1">
      <alignment horizontal="center" vertical="center"/>
      <protection locked="0"/>
    </xf>
    <xf numFmtId="0" fontId="20" fillId="0" borderId="36" xfId="0" applyFont="1" applyBorder="1" applyAlignment="1">
      <alignment horizontal="center" vertical="center" wrapText="1"/>
    </xf>
    <xf numFmtId="0" fontId="20" fillId="0" borderId="41" xfId="0" applyFont="1" applyBorder="1" applyAlignment="1">
      <alignment horizontal="center" vertical="center" wrapText="1"/>
    </xf>
    <xf numFmtId="0" fontId="20" fillId="15" borderId="79" xfId="0" applyFont="1" applyFill="1" applyBorder="1" applyAlignment="1" applyProtection="1">
      <alignment vertical="center" wrapText="1"/>
      <protection locked="0"/>
    </xf>
    <xf numFmtId="0" fontId="35" fillId="15" borderId="109" xfId="0" applyFont="1" applyFill="1" applyBorder="1" applyAlignment="1" applyProtection="1">
      <alignment horizontal="center" vertical="center"/>
      <protection locked="0"/>
    </xf>
    <xf numFmtId="0" fontId="35" fillId="0" borderId="107" xfId="0" applyFont="1" applyBorder="1" applyAlignment="1">
      <alignment horizontal="center" vertical="center"/>
    </xf>
    <xf numFmtId="0" fontId="35" fillId="0" borderId="3" xfId="0" applyFont="1" applyBorder="1" applyAlignment="1">
      <alignment horizontal="center" vertical="center"/>
    </xf>
    <xf numFmtId="0" fontId="35" fillId="0" borderId="1" xfId="0" applyFont="1" applyBorder="1" applyAlignment="1">
      <alignment horizontal="center" vertical="center"/>
    </xf>
    <xf numFmtId="167" fontId="42" fillId="0" borderId="74" xfId="0" applyNumberFormat="1" applyFont="1" applyBorder="1" applyAlignment="1">
      <alignment horizontal="center" vertical="center"/>
    </xf>
    <xf numFmtId="167" fontId="42" fillId="0" borderId="1" xfId="0" applyNumberFormat="1" applyFont="1" applyBorder="1" applyAlignment="1">
      <alignment horizontal="center" vertical="center"/>
    </xf>
    <xf numFmtId="167" fontId="20" fillId="0" borderId="79" xfId="0" applyNumberFormat="1" applyFont="1" applyBorder="1" applyAlignment="1">
      <alignment horizontal="center" vertical="center"/>
    </xf>
    <xf numFmtId="0" fontId="20" fillId="0" borderId="79" xfId="0" applyFont="1" applyBorder="1" applyAlignment="1">
      <alignment horizontal="center" vertical="center"/>
    </xf>
    <xf numFmtId="0" fontId="20" fillId="15" borderId="107" xfId="0" applyFont="1" applyFill="1" applyBorder="1" applyAlignment="1" applyProtection="1">
      <alignment vertical="center"/>
      <protection locked="0"/>
    </xf>
    <xf numFmtId="2" fontId="8" fillId="9" borderId="107" xfId="3" applyNumberFormat="1" applyFont="1" applyFill="1" applyBorder="1" applyAlignment="1" applyProtection="1">
      <alignment horizontal="center" vertical="center"/>
      <protection locked="0"/>
    </xf>
    <xf numFmtId="164" fontId="8" fillId="0" borderId="107" xfId="3" applyNumberFormat="1" applyFont="1" applyBorder="1" applyAlignment="1">
      <alignment horizontal="center" vertical="center"/>
    </xf>
    <xf numFmtId="164" fontId="8" fillId="0" borderId="37" xfId="3" applyNumberFormat="1" applyFont="1" applyBorder="1" applyAlignment="1">
      <alignment horizontal="center" vertical="center"/>
    </xf>
    <xf numFmtId="165" fontId="20" fillId="0" borderId="108" xfId="0" applyNumberFormat="1" applyFont="1" applyBorder="1" applyAlignment="1">
      <alignment horizontal="center" vertical="center"/>
    </xf>
    <xf numFmtId="167" fontId="20" fillId="0" borderId="107" xfId="0" applyNumberFormat="1" applyFont="1" applyBorder="1" applyAlignment="1">
      <alignment horizontal="center" vertical="center"/>
    </xf>
    <xf numFmtId="0" fontId="20" fillId="15" borderId="108" xfId="0" applyFont="1" applyFill="1" applyBorder="1" applyAlignment="1" applyProtection="1">
      <alignment vertical="center"/>
      <protection locked="0"/>
    </xf>
    <xf numFmtId="2" fontId="8" fillId="9" borderId="108" xfId="3" applyNumberFormat="1" applyFont="1" applyFill="1" applyBorder="1" applyAlignment="1" applyProtection="1">
      <alignment horizontal="center" vertical="center"/>
      <protection locked="0"/>
    </xf>
    <xf numFmtId="164" fontId="8" fillId="0" borderId="108" xfId="3" applyNumberFormat="1" applyFont="1" applyBorder="1" applyAlignment="1">
      <alignment horizontal="center" vertical="center"/>
    </xf>
    <xf numFmtId="167" fontId="20" fillId="0" borderId="108" xfId="0" applyNumberFormat="1" applyFont="1" applyBorder="1" applyAlignment="1">
      <alignment horizontal="center" vertical="center"/>
    </xf>
    <xf numFmtId="0" fontId="20" fillId="15" borderId="109" xfId="0" applyFont="1" applyFill="1" applyBorder="1" applyAlignment="1" applyProtection="1">
      <alignment vertical="center"/>
      <protection locked="0"/>
    </xf>
    <xf numFmtId="2" fontId="8" fillId="9" borderId="109" xfId="3" applyNumberFormat="1" applyFont="1" applyFill="1" applyBorder="1" applyAlignment="1" applyProtection="1">
      <alignment horizontal="center" vertical="center"/>
      <protection locked="0"/>
    </xf>
    <xf numFmtId="164" fontId="8" fillId="0" borderId="109" xfId="3" applyNumberFormat="1" applyFont="1" applyBorder="1" applyAlignment="1">
      <alignment horizontal="center" vertical="center"/>
    </xf>
    <xf numFmtId="164" fontId="8" fillId="0" borderId="49" xfId="3" applyNumberFormat="1" applyFont="1" applyBorder="1" applyAlignment="1">
      <alignment horizontal="center" vertical="center"/>
    </xf>
    <xf numFmtId="165" fontId="20" fillId="0" borderId="110" xfId="0" applyNumberFormat="1" applyFont="1" applyBorder="1" applyAlignment="1">
      <alignment horizontal="center" vertical="center"/>
    </xf>
    <xf numFmtId="167" fontId="20" fillId="0" borderId="110" xfId="0" applyNumberFormat="1" applyFont="1" applyBorder="1" applyAlignment="1">
      <alignment horizontal="center" vertical="center"/>
    </xf>
    <xf numFmtId="167" fontId="20" fillId="0" borderId="109" xfId="0" applyNumberFormat="1" applyFont="1" applyBorder="1" applyAlignment="1">
      <alignment horizontal="center" vertical="center"/>
    </xf>
    <xf numFmtId="0" fontId="8" fillId="9" borderId="13" xfId="3" applyFont="1" applyFill="1" applyBorder="1" applyAlignment="1" applyProtection="1">
      <alignment vertical="center" wrapText="1"/>
      <protection locked="0"/>
    </xf>
    <xf numFmtId="2" fontId="8" fillId="9" borderId="14" xfId="3" quotePrefix="1" applyNumberFormat="1" applyFont="1" applyFill="1" applyBorder="1" applyAlignment="1" applyProtection="1">
      <alignment horizontal="center" vertical="center"/>
      <protection locked="0"/>
    </xf>
    <xf numFmtId="164" fontId="8" fillId="9" borderId="18" xfId="3" applyNumberFormat="1" applyFont="1" applyFill="1" applyBorder="1" applyAlignment="1" applyProtection="1">
      <alignment horizontal="center" vertical="center"/>
      <protection locked="0"/>
    </xf>
    <xf numFmtId="165" fontId="20" fillId="0" borderId="107" xfId="0" applyNumberFormat="1" applyFont="1" applyBorder="1" applyAlignment="1">
      <alignment horizontal="center" vertical="center"/>
    </xf>
    <xf numFmtId="0" fontId="8" fillId="9" borderId="37" xfId="3" applyFont="1" applyFill="1" applyBorder="1" applyAlignment="1" applyProtection="1">
      <alignment vertical="center" wrapText="1"/>
      <protection locked="0"/>
    </xf>
    <xf numFmtId="2" fontId="8" fillId="9" borderId="28" xfId="3" quotePrefix="1" applyNumberFormat="1" applyFont="1" applyFill="1" applyBorder="1" applyAlignment="1" applyProtection="1">
      <alignment horizontal="center" vertical="center"/>
      <protection locked="0"/>
    </xf>
    <xf numFmtId="164" fontId="8" fillId="9" borderId="112" xfId="3" applyNumberFormat="1" applyFont="1" applyFill="1" applyBorder="1" applyAlignment="1" applyProtection="1">
      <alignment horizontal="center" vertical="center"/>
      <protection locked="0"/>
    </xf>
    <xf numFmtId="164" fontId="8" fillId="0" borderId="48" xfId="3" applyNumberFormat="1" applyFont="1" applyBorder="1" applyAlignment="1">
      <alignment horizontal="center" vertical="center"/>
    </xf>
    <xf numFmtId="0" fontId="8" fillId="9" borderId="113" xfId="3" applyFont="1" applyFill="1" applyBorder="1" applyAlignment="1" applyProtection="1">
      <alignment vertical="center" wrapText="1"/>
      <protection locked="0"/>
    </xf>
    <xf numFmtId="2" fontId="8" fillId="9" borderId="19" xfId="3" quotePrefix="1" applyNumberFormat="1" applyFont="1" applyFill="1" applyBorder="1" applyAlignment="1" applyProtection="1">
      <alignment horizontal="center" vertical="center"/>
      <protection locked="0"/>
    </xf>
    <xf numFmtId="164" fontId="8" fillId="9" borderId="24" xfId="3" applyNumberFormat="1" applyFont="1" applyFill="1" applyBorder="1" applyAlignment="1" applyProtection="1">
      <alignment horizontal="center" vertical="center"/>
      <protection locked="0"/>
    </xf>
    <xf numFmtId="164" fontId="8" fillId="0" borderId="113" xfId="3" applyNumberFormat="1" applyFont="1" applyBorder="1" applyAlignment="1">
      <alignment horizontal="center" vertical="center"/>
    </xf>
    <xf numFmtId="165" fontId="20" fillId="0" borderId="109" xfId="0" applyNumberFormat="1" applyFont="1" applyBorder="1" applyAlignment="1">
      <alignment horizontal="center" vertical="center"/>
    </xf>
    <xf numFmtId="170" fontId="8" fillId="9" borderId="107" xfId="3" applyNumberFormat="1" applyFont="1" applyFill="1" applyBorder="1" applyAlignment="1" applyProtection="1">
      <alignment horizontal="center" vertical="center"/>
      <protection locked="0"/>
    </xf>
    <xf numFmtId="170" fontId="8" fillId="9" borderId="108" xfId="3" applyNumberFormat="1" applyFont="1" applyFill="1" applyBorder="1" applyAlignment="1" applyProtection="1">
      <alignment horizontal="center" vertical="center"/>
      <protection locked="0"/>
    </xf>
    <xf numFmtId="170" fontId="8" fillId="9" borderId="109" xfId="3" applyNumberFormat="1" applyFont="1" applyFill="1" applyBorder="1" applyAlignment="1" applyProtection="1">
      <alignment horizontal="center" vertical="center"/>
      <protection locked="0"/>
    </xf>
    <xf numFmtId="170" fontId="8" fillId="9" borderId="107" xfId="3" quotePrefix="1" applyNumberFormat="1" applyFont="1" applyFill="1" applyBorder="1" applyAlignment="1" applyProtection="1">
      <alignment horizontal="center" vertical="center"/>
      <protection locked="0"/>
    </xf>
    <xf numFmtId="170" fontId="8" fillId="9" borderId="108" xfId="3" quotePrefix="1" applyNumberFormat="1" applyFont="1" applyFill="1" applyBorder="1" applyAlignment="1" applyProtection="1">
      <alignment horizontal="center" vertical="center"/>
      <protection locked="0"/>
    </xf>
    <xf numFmtId="170" fontId="8" fillId="9" borderId="109" xfId="3" quotePrefix="1" applyNumberFormat="1" applyFont="1" applyFill="1" applyBorder="1" applyAlignment="1" applyProtection="1">
      <alignment horizontal="center" vertical="center"/>
      <protection locked="0"/>
    </xf>
    <xf numFmtId="10" fontId="20" fillId="0" borderId="79" xfId="0" applyNumberFormat="1" applyFont="1" applyBorder="1" applyAlignment="1">
      <alignment horizontal="center" vertical="center"/>
    </xf>
    <xf numFmtId="0" fontId="35" fillId="0" borderId="107" xfId="0" applyFont="1" applyBorder="1" applyAlignment="1">
      <alignment horizontal="center" vertical="center" wrapText="1"/>
    </xf>
    <xf numFmtId="0" fontId="0" fillId="0" borderId="71" xfId="0" applyBorder="1" applyAlignment="1">
      <alignment wrapText="1"/>
    </xf>
    <xf numFmtId="0" fontId="27" fillId="0" borderId="0" xfId="0" applyFont="1" applyAlignment="1">
      <alignment vertical="center" wrapText="1"/>
    </xf>
    <xf numFmtId="0" fontId="27" fillId="0" borderId="71" xfId="0" applyFont="1" applyBorder="1" applyAlignment="1">
      <alignment vertical="center" wrapText="1"/>
    </xf>
    <xf numFmtId="0" fontId="0" fillId="0" borderId="0" xfId="0" applyAlignment="1">
      <alignment horizontal="left" vertical="center" wrapText="1"/>
    </xf>
    <xf numFmtId="164" fontId="0" fillId="0" borderId="0" xfId="0" applyNumberFormat="1" applyAlignment="1">
      <alignment horizontal="center" vertical="center" wrapText="1"/>
    </xf>
    <xf numFmtId="2" fontId="0" fillId="0" borderId="0" xfId="0" applyNumberFormat="1" applyAlignment="1">
      <alignment horizontal="center" vertical="center" wrapText="1"/>
    </xf>
    <xf numFmtId="165" fontId="0" fillId="0" borderId="0" xfId="0" applyNumberFormat="1" applyAlignment="1">
      <alignment horizontal="center" vertical="center" wrapText="1"/>
    </xf>
    <xf numFmtId="10" fontId="0" fillId="0" borderId="0" xfId="0" applyNumberFormat="1" applyAlignment="1">
      <alignment horizontal="center" vertical="center"/>
    </xf>
    <xf numFmtId="0" fontId="29" fillId="2" borderId="3" xfId="5" applyFont="1" applyFill="1" applyBorder="1" applyAlignment="1" applyProtection="1">
      <alignment horizontal="center" vertical="center"/>
    </xf>
    <xf numFmtId="0" fontId="29" fillId="2" borderId="4" xfId="5" applyFont="1" applyFill="1" applyBorder="1" applyAlignment="1" applyProtection="1">
      <alignment horizontal="center" vertical="center"/>
    </xf>
    <xf numFmtId="0" fontId="29" fillId="2" borderId="2" xfId="5" applyFont="1" applyFill="1" applyBorder="1" applyAlignment="1" applyProtection="1">
      <alignment horizontal="center" vertical="center"/>
    </xf>
    <xf numFmtId="0" fontId="0" fillId="0" borderId="7" xfId="0" applyBorder="1" applyAlignment="1">
      <alignment horizontal="center" wrapText="1"/>
    </xf>
    <xf numFmtId="0" fontId="0" fillId="0" borderId="0" xfId="0" applyAlignment="1">
      <alignment horizontal="center" wrapText="1"/>
    </xf>
    <xf numFmtId="0" fontId="0" fillId="0" borderId="71" xfId="0" applyBorder="1" applyAlignment="1">
      <alignment horizontal="center" wrapText="1"/>
    </xf>
    <xf numFmtId="0" fontId="29" fillId="12" borderId="3" xfId="5" applyFont="1" applyFill="1" applyBorder="1" applyAlignment="1">
      <alignment horizontal="center" vertical="center"/>
    </xf>
    <xf numFmtId="0" fontId="29" fillId="12" borderId="4" xfId="5" applyFont="1" applyFill="1" applyBorder="1" applyAlignment="1">
      <alignment horizontal="center" vertical="center"/>
    </xf>
    <xf numFmtId="0" fontId="29" fillId="12" borderId="2" xfId="5" applyFont="1" applyFill="1" applyBorder="1" applyAlignment="1">
      <alignment horizontal="center" vertical="center"/>
    </xf>
    <xf numFmtId="0" fontId="29" fillId="12" borderId="3" xfId="5" applyFont="1" applyFill="1" applyBorder="1" applyAlignment="1" applyProtection="1">
      <alignment horizontal="center" vertical="center"/>
    </xf>
    <xf numFmtId="0" fontId="29" fillId="12" borderId="4" xfId="5" applyFont="1" applyFill="1" applyBorder="1" applyAlignment="1" applyProtection="1">
      <alignment horizontal="center" vertical="center"/>
    </xf>
    <xf numFmtId="0" fontId="29" fillId="12" borderId="2" xfId="5" applyFont="1" applyFill="1" applyBorder="1" applyAlignment="1" applyProtection="1">
      <alignment horizontal="center" vertical="center"/>
    </xf>
    <xf numFmtId="0" fontId="2" fillId="13" borderId="3" xfId="0" applyFont="1" applyFill="1" applyBorder="1" applyAlignment="1">
      <alignment horizontal="center" vertical="center"/>
    </xf>
    <xf numFmtId="0" fontId="2" fillId="13" borderId="4" xfId="0" applyFont="1" applyFill="1" applyBorder="1" applyAlignment="1">
      <alignment horizontal="center" vertical="center"/>
    </xf>
    <xf numFmtId="0" fontId="2" fillId="13" borderId="2" xfId="0" applyFont="1" applyFill="1" applyBorder="1" applyAlignment="1">
      <alignment horizontal="center" vertical="center"/>
    </xf>
    <xf numFmtId="0" fontId="0" fillId="0" borderId="42" xfId="0" applyBorder="1" applyAlignment="1">
      <alignment horizontal="center"/>
    </xf>
    <xf numFmtId="0" fontId="0" fillId="0" borderId="44" xfId="0" applyBorder="1" applyAlignment="1">
      <alignment horizontal="center"/>
    </xf>
    <xf numFmtId="0" fontId="0" fillId="0" borderId="45" xfId="0" applyBorder="1" applyAlignment="1">
      <alignment horizontal="center"/>
    </xf>
    <xf numFmtId="0" fontId="2" fillId="12" borderId="3" xfId="0" applyFont="1" applyFill="1" applyBorder="1" applyAlignment="1">
      <alignment horizontal="center" vertical="center"/>
    </xf>
    <xf numFmtId="0" fontId="2" fillId="12" borderId="4" xfId="0" applyFont="1" applyFill="1" applyBorder="1" applyAlignment="1">
      <alignment horizontal="center" vertical="center"/>
    </xf>
    <xf numFmtId="0" fontId="2" fillId="12" borderId="2" xfId="0" applyFont="1" applyFill="1" applyBorder="1" applyAlignment="1">
      <alignment horizontal="center" vertical="center"/>
    </xf>
    <xf numFmtId="0" fontId="0" fillId="0" borderId="27" xfId="0" applyBorder="1" applyAlignment="1">
      <alignment horizontal="center" vertical="center"/>
    </xf>
    <xf numFmtId="0" fontId="0" fillId="0" borderId="46" xfId="0" applyBorder="1" applyAlignment="1">
      <alignment horizontal="center" vertical="center"/>
    </xf>
    <xf numFmtId="0" fontId="0" fillId="0" borderId="75" xfId="0" applyBorder="1" applyAlignment="1">
      <alignment horizontal="center" vertical="center"/>
    </xf>
    <xf numFmtId="0" fontId="0" fillId="0" borderId="7" xfId="0" applyBorder="1" applyAlignment="1">
      <alignment horizontal="center" vertical="center" wrapText="1"/>
    </xf>
    <xf numFmtId="0" fontId="0" fillId="0" borderId="0" xfId="0" applyAlignment="1">
      <alignment horizontal="center" vertical="center" wrapText="1"/>
    </xf>
    <xf numFmtId="0" fontId="0" fillId="0" borderId="71" xfId="0" applyBorder="1" applyAlignment="1">
      <alignment horizontal="center" vertical="center" wrapText="1"/>
    </xf>
    <xf numFmtId="0" fontId="0" fillId="0" borderId="47" xfId="0" applyBorder="1" applyAlignment="1">
      <alignment horizontal="center" vertical="center" wrapText="1"/>
    </xf>
    <xf numFmtId="0" fontId="0" fillId="0" borderId="52" xfId="0" applyBorder="1" applyAlignment="1">
      <alignment horizontal="center" vertical="center" wrapText="1"/>
    </xf>
    <xf numFmtId="0" fontId="0" fillId="0" borderId="78" xfId="0" applyBorder="1" applyAlignment="1">
      <alignment horizontal="center" vertical="center" wrapText="1"/>
    </xf>
    <xf numFmtId="0" fontId="29" fillId="13" borderId="3" xfId="5" applyFont="1" applyFill="1" applyBorder="1" applyAlignment="1" applyProtection="1">
      <alignment horizontal="center" vertical="center"/>
    </xf>
    <xf numFmtId="0" fontId="29" fillId="13" borderId="4" xfId="5" applyFont="1" applyFill="1" applyBorder="1" applyAlignment="1" applyProtection="1">
      <alignment horizontal="center" vertical="center"/>
    </xf>
    <xf numFmtId="0" fontId="29" fillId="13" borderId="2" xfId="5" applyFont="1" applyFill="1" applyBorder="1" applyAlignment="1" applyProtection="1">
      <alignment horizontal="center" vertical="center"/>
    </xf>
    <xf numFmtId="0" fontId="0" fillId="0" borderId="53" xfId="0" applyBorder="1" applyAlignment="1">
      <alignment horizontal="center" vertical="center" wrapTex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29" fillId="13" borderId="3" xfId="5" applyFont="1" applyFill="1" applyBorder="1" applyAlignment="1">
      <alignment horizontal="center" vertical="center"/>
    </xf>
    <xf numFmtId="0" fontId="29" fillId="13" borderId="4" xfId="5" applyFont="1" applyFill="1" applyBorder="1" applyAlignment="1">
      <alignment horizontal="center" vertical="center"/>
    </xf>
    <xf numFmtId="0" fontId="29" fillId="13" borderId="2" xfId="5" applyFont="1" applyFill="1" applyBorder="1" applyAlignment="1">
      <alignment horizontal="center" vertical="center"/>
    </xf>
    <xf numFmtId="0" fontId="27" fillId="2" borderId="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7" fillId="2" borderId="2" xfId="0" applyFont="1" applyFill="1" applyBorder="1" applyAlignment="1">
      <alignment horizontal="center" vertical="center" wrapText="1"/>
    </xf>
    <xf numFmtId="0" fontId="20" fillId="0" borderId="7" xfId="0" applyFont="1" applyBorder="1" applyAlignment="1">
      <alignment horizontal="center" vertical="center" wrapText="1"/>
    </xf>
    <xf numFmtId="0" fontId="20" fillId="0" borderId="0" xfId="0" applyFont="1" applyAlignment="1">
      <alignment horizontal="center" vertical="center" wrapText="1"/>
    </xf>
    <xf numFmtId="0" fontId="20" fillId="0" borderId="71" xfId="0" applyFont="1" applyBorder="1" applyAlignment="1">
      <alignment horizontal="center" vertical="center" wrapText="1"/>
    </xf>
    <xf numFmtId="0" fontId="0" fillId="0" borderId="7" xfId="0" applyBorder="1" applyAlignment="1">
      <alignment horizontal="center"/>
    </xf>
    <xf numFmtId="0" fontId="0" fillId="0" borderId="0" xfId="0" applyAlignment="1">
      <alignment horizontal="center"/>
    </xf>
    <xf numFmtId="0" fontId="0" fillId="0" borderId="71" xfId="0" applyBorder="1" applyAlignment="1">
      <alignment horizontal="center"/>
    </xf>
    <xf numFmtId="0" fontId="62" fillId="2" borderId="42" xfId="5" applyFont="1" applyFill="1" applyBorder="1" applyAlignment="1">
      <alignment horizontal="center" vertical="center"/>
    </xf>
    <xf numFmtId="0" fontId="62" fillId="2" borderId="44" xfId="5" applyFont="1" applyFill="1" applyBorder="1" applyAlignment="1">
      <alignment horizontal="center" vertical="center"/>
    </xf>
    <xf numFmtId="0" fontId="62" fillId="2" borderId="45" xfId="5" applyFont="1" applyFill="1" applyBorder="1" applyAlignment="1">
      <alignment horizontal="center" vertical="center"/>
    </xf>
    <xf numFmtId="0" fontId="62" fillId="2" borderId="74" xfId="5" applyFont="1" applyFill="1" applyBorder="1" applyAlignment="1">
      <alignment horizontal="center" vertical="center"/>
    </xf>
    <xf numFmtId="0" fontId="62" fillId="2" borderId="72" xfId="5" applyFont="1" applyFill="1" applyBorder="1" applyAlignment="1">
      <alignment horizontal="center" vertical="center"/>
    </xf>
    <xf numFmtId="0" fontId="62" fillId="2" borderId="73" xfId="5" applyFont="1" applyFill="1" applyBorder="1" applyAlignment="1">
      <alignment horizontal="center" vertical="center"/>
    </xf>
    <xf numFmtId="0" fontId="34" fillId="0" borderId="3" xfId="0" applyFont="1" applyBorder="1" applyAlignment="1">
      <alignment horizontal="center" vertical="center"/>
    </xf>
    <xf numFmtId="0" fontId="34" fillId="0" borderId="4" xfId="0" applyFont="1" applyBorder="1" applyAlignment="1">
      <alignment horizontal="center" vertical="center"/>
    </xf>
    <xf numFmtId="0" fontId="34" fillId="0" borderId="2" xfId="0" applyFont="1" applyBorder="1" applyAlignment="1">
      <alignment horizontal="center" vertical="center"/>
    </xf>
    <xf numFmtId="0" fontId="20" fillId="0" borderId="7" xfId="0" applyFont="1" applyBorder="1" applyAlignment="1">
      <alignment horizontal="center"/>
    </xf>
    <xf numFmtId="0" fontId="20" fillId="0" borderId="0" xfId="0" applyFont="1" applyAlignment="1">
      <alignment horizontal="center"/>
    </xf>
    <xf numFmtId="0" fontId="20" fillId="0" borderId="71" xfId="0" applyFont="1" applyBorder="1" applyAlignment="1">
      <alignment horizont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8" fillId="0" borderId="4" xfId="5" applyFont="1" applyBorder="1" applyAlignment="1" applyProtection="1">
      <alignment horizontal="center" vertical="center"/>
    </xf>
    <xf numFmtId="0" fontId="28" fillId="0" borderId="2" xfId="5" applyFont="1" applyBorder="1" applyAlignment="1" applyProtection="1">
      <alignment horizontal="center" vertical="center"/>
    </xf>
    <xf numFmtId="0" fontId="26" fillId="0" borderId="4" xfId="5" applyBorder="1" applyAlignment="1" applyProtection="1">
      <alignment horizontal="center" vertical="center"/>
    </xf>
    <xf numFmtId="0" fontId="29" fillId="0" borderId="2" xfId="5" applyFont="1" applyBorder="1" applyAlignment="1" applyProtection="1">
      <alignment horizontal="center" vertical="center"/>
    </xf>
    <xf numFmtId="0" fontId="27" fillId="2" borderId="3" xfId="0" applyFont="1" applyFill="1" applyBorder="1" applyAlignment="1">
      <alignment horizontal="center" vertical="center"/>
    </xf>
    <xf numFmtId="0" fontId="27" fillId="2" borderId="4" xfId="0" applyFont="1" applyFill="1" applyBorder="1" applyAlignment="1">
      <alignment horizontal="center" vertical="center"/>
    </xf>
    <xf numFmtId="0" fontId="27" fillId="2" borderId="2" xfId="0" applyFont="1" applyFill="1" applyBorder="1" applyAlignment="1">
      <alignment horizontal="center" vertical="center"/>
    </xf>
    <xf numFmtId="0" fontId="0" fillId="0" borderId="39" xfId="0" applyBorder="1" applyAlignment="1">
      <alignment horizontal="center" vertical="center"/>
    </xf>
    <xf numFmtId="0" fontId="0" fillId="0" borderId="106" xfId="0" applyBorder="1" applyAlignment="1">
      <alignment horizontal="center" vertical="center"/>
    </xf>
    <xf numFmtId="0" fontId="23" fillId="0" borderId="42" xfId="0" applyFont="1" applyBorder="1" applyAlignment="1">
      <alignment horizontal="center" vertical="center" wrapText="1"/>
    </xf>
    <xf numFmtId="0" fontId="23" fillId="0" borderId="45" xfId="0" applyFont="1" applyBorder="1" applyAlignment="1">
      <alignment horizontal="center" vertical="center" wrapText="1"/>
    </xf>
    <xf numFmtId="0" fontId="23" fillId="0" borderId="74" xfId="0" applyFont="1" applyBorder="1" applyAlignment="1">
      <alignment horizontal="center" vertical="center" wrapText="1"/>
    </xf>
    <xf numFmtId="0" fontId="23" fillId="0" borderId="73" xfId="0" applyFont="1" applyBorder="1" applyAlignment="1">
      <alignment horizontal="center" vertical="center" wrapText="1"/>
    </xf>
    <xf numFmtId="0" fontId="23" fillId="11" borderId="79" xfId="0" applyFont="1" applyFill="1" applyBorder="1" applyAlignment="1" applyProtection="1">
      <alignment horizontal="center" vertical="center"/>
      <protection locked="0"/>
    </xf>
    <xf numFmtId="0" fontId="23" fillId="11" borderId="51" xfId="0" applyFont="1" applyFill="1" applyBorder="1" applyAlignment="1" applyProtection="1">
      <alignment horizontal="center" vertical="center"/>
      <protection locked="0"/>
    </xf>
    <xf numFmtId="0" fontId="0" fillId="0" borderId="53" xfId="0" applyBorder="1" applyAlignment="1">
      <alignment horizontal="left" vertical="center" wrapText="1"/>
    </xf>
    <xf numFmtId="0" fontId="0" fillId="0" borderId="5" xfId="0" applyBorder="1" applyAlignment="1">
      <alignment horizontal="left" vertical="center" wrapText="1"/>
    </xf>
    <xf numFmtId="0" fontId="0" fillId="0" borderId="47" xfId="0" applyBorder="1" applyAlignment="1">
      <alignment horizontal="left" vertical="center" wrapText="1"/>
    </xf>
    <xf numFmtId="0" fontId="0" fillId="0" borderId="30" xfId="0" applyBorder="1" applyAlignment="1">
      <alignment horizontal="left" vertical="center" wrapText="1"/>
    </xf>
    <xf numFmtId="166" fontId="0" fillId="0" borderId="89" xfId="0" applyNumberFormat="1" applyBorder="1" applyAlignment="1">
      <alignment horizontal="left" vertical="center" wrapText="1"/>
    </xf>
    <xf numFmtId="166" fontId="0" fillId="0" borderId="90" xfId="0" applyNumberFormat="1" applyBorder="1" applyAlignment="1">
      <alignment horizontal="left" vertical="center" wrapText="1"/>
    </xf>
    <xf numFmtId="0" fontId="0" fillId="0" borderId="53" xfId="0" applyBorder="1" applyAlignment="1">
      <alignment horizontal="left" wrapText="1"/>
    </xf>
    <xf numFmtId="0" fontId="0" fillId="0" borderId="5" xfId="0" applyBorder="1" applyAlignment="1">
      <alignment horizontal="left" wrapText="1"/>
    </xf>
    <xf numFmtId="0" fontId="0" fillId="0" borderId="7" xfId="0" applyBorder="1" applyAlignment="1">
      <alignment horizontal="left" wrapText="1"/>
    </xf>
    <xf numFmtId="0" fontId="0" fillId="0" borderId="10" xfId="0" applyBorder="1" applyAlignment="1">
      <alignment horizontal="left"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9" fillId="12" borderId="42" xfId="5" applyFont="1" applyFill="1" applyBorder="1" applyAlignment="1" applyProtection="1">
      <alignment horizontal="center" vertical="center" wrapText="1"/>
    </xf>
    <xf numFmtId="0" fontId="29" fillId="12" borderId="45" xfId="5" applyFont="1" applyFill="1" applyBorder="1" applyAlignment="1" applyProtection="1">
      <alignment horizontal="center" vertical="center" wrapText="1"/>
    </xf>
    <xf numFmtId="0" fontId="29" fillId="12" borderId="74" xfId="5" applyFont="1" applyFill="1" applyBorder="1" applyAlignment="1" applyProtection="1">
      <alignment horizontal="center" vertical="center" wrapText="1"/>
    </xf>
    <xf numFmtId="0" fontId="29" fillId="12" borderId="73" xfId="5" applyFont="1" applyFill="1" applyBorder="1" applyAlignment="1" applyProtection="1">
      <alignment horizontal="center" vertical="center" wrapText="1"/>
    </xf>
    <xf numFmtId="0" fontId="0" fillId="11" borderId="3" xfId="0" applyFill="1" applyBorder="1" applyAlignment="1">
      <alignment horizontal="left" vertical="center" wrapText="1"/>
    </xf>
    <xf numFmtId="0" fontId="0" fillId="11" borderId="4" xfId="0" applyFill="1" applyBorder="1" applyAlignment="1">
      <alignment horizontal="left" vertical="center" wrapText="1"/>
    </xf>
    <xf numFmtId="0" fontId="44" fillId="11" borderId="42" xfId="0" applyFont="1" applyFill="1" applyBorder="1" applyAlignment="1">
      <alignment horizontal="center" vertical="center" wrapText="1"/>
    </xf>
    <xf numFmtId="0" fontId="44" fillId="11" borderId="44" xfId="0" applyFont="1" applyFill="1" applyBorder="1" applyAlignment="1">
      <alignment horizontal="center" vertical="center" wrapText="1"/>
    </xf>
    <xf numFmtId="0" fontId="44" fillId="11" borderId="45" xfId="0" applyFont="1" applyFill="1" applyBorder="1" applyAlignment="1">
      <alignment horizontal="center" vertical="center" wrapText="1"/>
    </xf>
    <xf numFmtId="0" fontId="44" fillId="11" borderId="47" xfId="0" applyFont="1" applyFill="1" applyBorder="1" applyAlignment="1">
      <alignment horizontal="center" vertical="center" wrapText="1"/>
    </xf>
    <xf numFmtId="0" fontId="44" fillId="11" borderId="52" xfId="0" applyFont="1" applyFill="1" applyBorder="1" applyAlignment="1">
      <alignment horizontal="center" vertical="center" wrapText="1"/>
    </xf>
    <xf numFmtId="0" fontId="44" fillId="11" borderId="78" xfId="0" applyFont="1" applyFill="1" applyBorder="1" applyAlignment="1">
      <alignment horizontal="center" vertical="center" wrapText="1"/>
    </xf>
    <xf numFmtId="0" fontId="23" fillId="0" borderId="42" xfId="0" applyFont="1" applyBorder="1" applyAlignment="1">
      <alignment horizontal="left" vertical="center" wrapText="1"/>
    </xf>
    <xf numFmtId="0" fontId="23" fillId="0" borderId="44" xfId="0" applyFont="1" applyBorder="1" applyAlignment="1">
      <alignment horizontal="left" vertical="center" wrapText="1"/>
    </xf>
    <xf numFmtId="0" fontId="23" fillId="0" borderId="45" xfId="0" applyFont="1" applyBorder="1" applyAlignment="1">
      <alignment horizontal="left" vertical="center" wrapText="1"/>
    </xf>
    <xf numFmtId="0" fontId="23" fillId="0" borderId="74" xfId="0" applyFont="1" applyBorder="1" applyAlignment="1">
      <alignment horizontal="left" vertical="center" wrapText="1"/>
    </xf>
    <xf numFmtId="0" fontId="23" fillId="0" borderId="72" xfId="0" applyFont="1" applyBorder="1" applyAlignment="1">
      <alignment horizontal="left" vertical="center" wrapText="1"/>
    </xf>
    <xf numFmtId="0" fontId="23" fillId="0" borderId="73" xfId="0" applyFont="1" applyBorder="1" applyAlignment="1">
      <alignment horizontal="left" vertical="center" wrapText="1"/>
    </xf>
    <xf numFmtId="0" fontId="0" fillId="0" borderId="42" xfId="0" applyBorder="1" applyAlignment="1">
      <alignment horizontal="center" wrapText="1"/>
    </xf>
    <xf numFmtId="0" fontId="0" fillId="0" borderId="44" xfId="0" applyBorder="1" applyAlignment="1">
      <alignment horizontal="center" wrapText="1"/>
    </xf>
    <xf numFmtId="0" fontId="0" fillId="0" borderId="42" xfId="0" applyBorder="1" applyAlignment="1">
      <alignment horizontal="center" vertical="center" wrapText="1"/>
    </xf>
    <xf numFmtId="0" fontId="0" fillId="0" borderId="45" xfId="0" applyBorder="1" applyAlignment="1">
      <alignment horizontal="center" vertical="center" wrapText="1"/>
    </xf>
    <xf numFmtId="0" fontId="0" fillId="0" borderId="74" xfId="0" applyBorder="1" applyAlignment="1">
      <alignment horizontal="center" vertical="center" wrapText="1"/>
    </xf>
    <xf numFmtId="0" fontId="0" fillId="0" borderId="73" xfId="0" applyBorder="1" applyAlignment="1">
      <alignment horizontal="center" vertical="center" wrapText="1"/>
    </xf>
    <xf numFmtId="0" fontId="0" fillId="0" borderId="4" xfId="0" applyBorder="1" applyAlignment="1">
      <alignment horizontal="center"/>
    </xf>
    <xf numFmtId="0" fontId="0" fillId="0" borderId="2" xfId="0" applyBorder="1" applyAlignment="1">
      <alignment horizontal="center"/>
    </xf>
    <xf numFmtId="0" fontId="29" fillId="12" borderId="42" xfId="5" applyFont="1" applyFill="1" applyBorder="1" applyAlignment="1">
      <alignment horizontal="center" vertical="center" wrapText="1"/>
    </xf>
    <xf numFmtId="0" fontId="29" fillId="12" borderId="45" xfId="5" applyFont="1" applyFill="1" applyBorder="1" applyAlignment="1">
      <alignment horizontal="center" vertical="center" wrapText="1"/>
    </xf>
    <xf numFmtId="0" fontId="29" fillId="12" borderId="7" xfId="5" applyFont="1" applyFill="1" applyBorder="1" applyAlignment="1">
      <alignment horizontal="center" vertical="center" wrapText="1"/>
    </xf>
    <xf numFmtId="0" fontId="29" fillId="12" borderId="71" xfId="5" applyFont="1" applyFill="1" applyBorder="1" applyAlignment="1">
      <alignment horizontal="center" vertical="center" wrapText="1"/>
    </xf>
    <xf numFmtId="0" fontId="29" fillId="12" borderId="72" xfId="5" applyFont="1" applyFill="1" applyBorder="1" applyAlignment="1">
      <alignment horizontal="center" vertical="center" wrapText="1"/>
    </xf>
    <xf numFmtId="0" fontId="29" fillId="12" borderId="73" xfId="5" applyFont="1" applyFill="1" applyBorder="1" applyAlignment="1">
      <alignment horizontal="center" vertical="center" wrapText="1"/>
    </xf>
    <xf numFmtId="0" fontId="29" fillId="2" borderId="42" xfId="5" applyFont="1" applyFill="1" applyBorder="1" applyAlignment="1">
      <alignment horizontal="center" vertical="center" wrapText="1"/>
    </xf>
    <xf numFmtId="0" fontId="29" fillId="2" borderId="45" xfId="5" applyFont="1" applyFill="1" applyBorder="1" applyAlignment="1">
      <alignment horizontal="center" vertical="center"/>
    </xf>
    <xf numFmtId="0" fontId="29" fillId="2" borderId="7" xfId="5" applyFont="1" applyFill="1" applyBorder="1" applyAlignment="1">
      <alignment horizontal="center" vertical="center"/>
    </xf>
    <xf numFmtId="0" fontId="29" fillId="2" borderId="71" xfId="5" applyFont="1" applyFill="1" applyBorder="1" applyAlignment="1">
      <alignment horizontal="center" vertical="center"/>
    </xf>
    <xf numFmtId="0" fontId="29" fillId="2" borderId="74" xfId="5" applyFont="1" applyFill="1" applyBorder="1" applyAlignment="1">
      <alignment horizontal="center" vertical="center"/>
    </xf>
    <xf numFmtId="0" fontId="29" fillId="2" borderId="73" xfId="5" applyFont="1" applyFill="1" applyBorder="1" applyAlignment="1">
      <alignment horizontal="center" vertical="center"/>
    </xf>
    <xf numFmtId="0" fontId="45" fillId="4" borderId="3" xfId="2" applyFont="1" applyFill="1" applyBorder="1" applyAlignment="1">
      <alignment horizontal="center" vertical="center" wrapText="1"/>
    </xf>
    <xf numFmtId="0" fontId="45" fillId="4" borderId="2" xfId="2" applyFont="1" applyFill="1" applyBorder="1" applyAlignment="1">
      <alignment horizontal="center" vertical="center" wrapText="1"/>
    </xf>
    <xf numFmtId="2" fontId="0" fillId="11" borderId="3" xfId="0" applyNumberFormat="1" applyFill="1" applyBorder="1" applyAlignment="1">
      <alignment horizontal="center" vertical="center"/>
    </xf>
    <xf numFmtId="2" fontId="0" fillId="11" borderId="2" xfId="0" applyNumberFormat="1" applyFill="1" applyBorder="1" applyAlignment="1">
      <alignment horizontal="center" vertical="center"/>
    </xf>
    <xf numFmtId="0" fontId="0" fillId="0" borderId="44" xfId="0" applyBorder="1" applyAlignment="1">
      <alignment horizontal="left" vertical="center" wrapText="1"/>
    </xf>
    <xf numFmtId="0" fontId="0" fillId="0" borderId="0" xfId="0" applyAlignment="1">
      <alignment horizontal="left" vertical="center" wrapText="1"/>
    </xf>
    <xf numFmtId="165" fontId="0" fillId="11" borderId="3" xfId="0" applyNumberFormat="1" applyFill="1" applyBorder="1" applyAlignment="1">
      <alignment horizontal="center" vertical="center"/>
    </xf>
    <xf numFmtId="165" fontId="0" fillId="11" borderId="2" xfId="0" applyNumberFormat="1" applyFill="1" applyBorder="1" applyAlignment="1">
      <alignment horizontal="center" vertical="center"/>
    </xf>
    <xf numFmtId="0" fontId="0" fillId="0" borderId="7" xfId="0" applyBorder="1" applyAlignment="1">
      <alignment horizontal="left" vertical="center" wrapText="1"/>
    </xf>
    <xf numFmtId="0" fontId="22" fillId="4" borderId="3" xfId="2" applyFont="1" applyFill="1" applyBorder="1" applyAlignment="1">
      <alignment horizontal="center" vertical="center" wrapText="1"/>
    </xf>
    <xf numFmtId="0" fontId="22" fillId="4" borderId="4" xfId="2" applyFont="1" applyFill="1" applyBorder="1" applyAlignment="1">
      <alignment horizontal="center" vertical="center" wrapText="1"/>
    </xf>
    <xf numFmtId="0" fontId="22" fillId="4" borderId="2" xfId="2" applyFont="1" applyFill="1" applyBorder="1" applyAlignment="1">
      <alignment horizontal="center" vertical="center" wrapText="1"/>
    </xf>
    <xf numFmtId="2" fontId="0" fillId="0" borderId="3" xfId="0" applyNumberFormat="1" applyBorder="1" applyAlignment="1">
      <alignment horizontal="left" vertical="center" wrapText="1"/>
    </xf>
    <xf numFmtId="0" fontId="0" fillId="0" borderId="2" xfId="0" applyBorder="1" applyAlignment="1">
      <alignment horizontal="left" vertical="center" wrapText="1"/>
    </xf>
    <xf numFmtId="10" fontId="0" fillId="0" borderId="74" xfId="0" applyNumberFormat="1" applyBorder="1" applyAlignment="1">
      <alignment horizontal="center" vertical="center"/>
    </xf>
    <xf numFmtId="0" fontId="0" fillId="0" borderId="73" xfId="0" applyBorder="1" applyAlignment="1">
      <alignment horizontal="center" vertical="center"/>
    </xf>
    <xf numFmtId="0" fontId="0" fillId="0" borderId="3" xfId="0" applyBorder="1" applyAlignment="1">
      <alignment horizontal="center"/>
    </xf>
    <xf numFmtId="0" fontId="25" fillId="0" borderId="42" xfId="0" applyFont="1" applyBorder="1" applyAlignment="1">
      <alignment horizontal="left" vertical="center" wrapText="1"/>
    </xf>
    <xf numFmtId="0" fontId="25" fillId="0" borderId="44" xfId="0" applyFont="1" applyBorder="1" applyAlignment="1">
      <alignment horizontal="left" vertical="center" wrapText="1"/>
    </xf>
    <xf numFmtId="0" fontId="25" fillId="0" borderId="45" xfId="0" applyFont="1" applyBorder="1" applyAlignment="1">
      <alignment horizontal="left" vertical="center" wrapText="1"/>
    </xf>
    <xf numFmtId="0" fontId="0" fillId="0" borderId="74" xfId="0" applyBorder="1" applyAlignment="1">
      <alignment horizontal="left" vertical="center" wrapText="1"/>
    </xf>
    <xf numFmtId="0" fontId="0" fillId="0" borderId="72" xfId="0" applyBorder="1" applyAlignment="1">
      <alignment horizontal="left" vertical="center" wrapText="1"/>
    </xf>
    <xf numFmtId="0" fontId="0" fillId="0" borderId="73" xfId="0" applyBorder="1" applyAlignment="1">
      <alignment horizontal="left" vertical="center" wrapText="1"/>
    </xf>
    <xf numFmtId="0" fontId="60" fillId="0" borderId="72" xfId="0" applyFont="1" applyBorder="1" applyAlignment="1">
      <alignment horizontal="center" vertical="center"/>
    </xf>
    <xf numFmtId="0" fontId="42" fillId="0" borderId="42" xfId="0" applyFont="1" applyBorder="1" applyAlignment="1">
      <alignment horizontal="center" vertical="center"/>
    </xf>
    <xf numFmtId="0" fontId="42" fillId="0" borderId="45" xfId="0" applyFont="1" applyBorder="1" applyAlignment="1">
      <alignment horizontal="center" vertical="center"/>
    </xf>
    <xf numFmtId="0" fontId="42" fillId="0" borderId="3" xfId="0" applyFont="1" applyBorder="1" applyAlignment="1">
      <alignment horizontal="center" vertical="center"/>
    </xf>
    <xf numFmtId="0" fontId="42" fillId="0" borderId="2" xfId="0" applyFont="1" applyBorder="1" applyAlignment="1">
      <alignment horizontal="center" vertical="center"/>
    </xf>
    <xf numFmtId="10" fontId="42" fillId="0" borderId="74" xfId="0" applyNumberFormat="1" applyFont="1" applyBorder="1" applyAlignment="1">
      <alignment horizontal="center" vertical="center"/>
    </xf>
    <xf numFmtId="10" fontId="42" fillId="0" borderId="73" xfId="0" applyNumberFormat="1" applyFont="1" applyBorder="1" applyAlignment="1">
      <alignment horizontal="center" vertical="center"/>
    </xf>
    <xf numFmtId="10" fontId="42" fillId="0" borderId="74" xfId="0" applyNumberFormat="1" applyFont="1" applyBorder="1" applyAlignment="1">
      <alignment horizontal="center" vertical="center" wrapText="1"/>
    </xf>
    <xf numFmtId="10" fontId="42" fillId="0" borderId="73" xfId="0" applyNumberFormat="1" applyFont="1" applyBorder="1" applyAlignment="1">
      <alignment horizontal="center" vertical="center" wrapText="1"/>
    </xf>
    <xf numFmtId="0" fontId="2" fillId="3" borderId="42" xfId="0" applyFont="1" applyFill="1" applyBorder="1" applyAlignment="1">
      <alignment horizontal="center" vertical="center" wrapText="1"/>
    </xf>
    <xf numFmtId="0" fontId="44" fillId="11" borderId="74" xfId="0" applyFont="1" applyFill="1" applyBorder="1" applyAlignment="1">
      <alignment horizontal="center" vertical="center" wrapText="1"/>
    </xf>
    <xf numFmtId="0" fontId="44" fillId="11" borderId="72" xfId="0" applyFont="1" applyFill="1" applyBorder="1" applyAlignment="1">
      <alignment horizontal="center" vertical="center" wrapText="1"/>
    </xf>
    <xf numFmtId="0" fontId="44" fillId="11" borderId="73" xfId="0" applyFont="1" applyFill="1" applyBorder="1" applyAlignment="1">
      <alignment horizontal="center" vertical="center" wrapText="1"/>
    </xf>
    <xf numFmtId="0" fontId="30" fillId="13" borderId="42" xfId="5" applyFont="1" applyFill="1" applyBorder="1" applyAlignment="1" applyProtection="1">
      <alignment horizontal="center" vertical="center" wrapText="1"/>
    </xf>
    <xf numFmtId="0" fontId="30" fillId="13" borderId="45" xfId="5" applyFont="1" applyFill="1" applyBorder="1" applyAlignment="1" applyProtection="1">
      <alignment horizontal="center" vertical="center" wrapText="1"/>
    </xf>
    <xf numFmtId="0" fontId="30" fillId="13" borderId="74" xfId="5" applyFont="1" applyFill="1" applyBorder="1" applyAlignment="1" applyProtection="1">
      <alignment horizontal="center" vertical="center" wrapText="1"/>
    </xf>
    <xf numFmtId="0" fontId="30" fillId="13" borderId="73" xfId="5" applyFont="1" applyFill="1" applyBorder="1" applyAlignment="1" applyProtection="1">
      <alignment horizontal="center" vertical="center" wrapText="1"/>
    </xf>
    <xf numFmtId="0" fontId="0" fillId="0" borderId="27" xfId="0" applyBorder="1" applyAlignment="1">
      <alignment horizontal="center"/>
    </xf>
    <xf numFmtId="0" fontId="0" fillId="0" borderId="39" xfId="0" applyBorder="1" applyAlignment="1">
      <alignment horizontal="center"/>
    </xf>
    <xf numFmtId="0" fontId="0" fillId="0" borderId="74" xfId="0" applyBorder="1" applyAlignment="1">
      <alignment horizontal="left" wrapText="1"/>
    </xf>
    <xf numFmtId="0" fontId="0" fillId="0" borderId="22" xfId="0" applyBorder="1" applyAlignment="1">
      <alignment horizontal="left" wrapText="1"/>
    </xf>
    <xf numFmtId="166" fontId="0" fillId="0" borderId="94" xfId="0" applyNumberFormat="1" applyBorder="1" applyAlignment="1">
      <alignment horizontal="left" vertical="center" wrapText="1"/>
    </xf>
    <xf numFmtId="0" fontId="23" fillId="0" borderId="44" xfId="0" applyFont="1" applyBorder="1" applyAlignment="1">
      <alignment horizontal="center" vertical="center" wrapText="1"/>
    </xf>
    <xf numFmtId="0" fontId="23" fillId="0" borderId="72" xfId="0" applyFont="1" applyBorder="1" applyAlignment="1">
      <alignment horizontal="center" vertical="center" wrapText="1"/>
    </xf>
    <xf numFmtId="0" fontId="0" fillId="0" borderId="42" xfId="0" applyBorder="1" applyAlignment="1">
      <alignment horizontal="left" vertical="center" wrapText="1"/>
    </xf>
    <xf numFmtId="0" fontId="0" fillId="0" borderId="92" xfId="0" applyBorder="1" applyAlignment="1">
      <alignment horizontal="left" vertical="center" wrapText="1"/>
    </xf>
    <xf numFmtId="166" fontId="0" fillId="0" borderId="43" xfId="0" applyNumberFormat="1" applyBorder="1" applyAlignment="1">
      <alignment horizontal="left" vertical="center" wrapText="1"/>
    </xf>
    <xf numFmtId="166" fontId="0" fillId="0" borderId="93" xfId="0" applyNumberFormat="1" applyBorder="1" applyAlignment="1">
      <alignment horizontal="left" vertical="center" wrapText="1"/>
    </xf>
    <xf numFmtId="0" fontId="20" fillId="0" borderId="42" xfId="0" applyFont="1" applyBorder="1" applyAlignment="1">
      <alignment horizontal="center" vertical="center" wrapText="1"/>
    </xf>
    <xf numFmtId="0" fontId="20" fillId="0" borderId="44" xfId="0" applyFont="1" applyBorder="1" applyAlignment="1">
      <alignment horizontal="center" vertical="center" wrapText="1"/>
    </xf>
    <xf numFmtId="0" fontId="20" fillId="0" borderId="45" xfId="0" applyFont="1" applyBorder="1" applyAlignment="1">
      <alignment horizontal="center" vertical="center" wrapText="1"/>
    </xf>
    <xf numFmtId="0" fontId="28" fillId="0" borderId="7" xfId="5" applyFont="1" applyBorder="1" applyAlignment="1">
      <alignment horizontal="center" vertical="center" wrapText="1"/>
    </xf>
    <xf numFmtId="0" fontId="20" fillId="0" borderId="74" xfId="0" applyFont="1" applyBorder="1" applyAlignment="1">
      <alignment horizontal="center" vertical="center" wrapText="1"/>
    </xf>
    <xf numFmtId="0" fontId="20" fillId="0" borderId="72" xfId="0" applyFont="1" applyBorder="1" applyAlignment="1">
      <alignment horizontal="center" vertical="center" wrapText="1"/>
    </xf>
    <xf numFmtId="0" fontId="20" fillId="0" borderId="73" xfId="0" applyFont="1" applyBorder="1" applyAlignment="1">
      <alignment horizontal="center" vertical="center" wrapText="1"/>
    </xf>
    <xf numFmtId="10" fontId="0" fillId="0" borderId="74" xfId="0" applyNumberFormat="1" applyBorder="1" applyAlignment="1">
      <alignment horizontal="center"/>
    </xf>
    <xf numFmtId="0" fontId="0" fillId="0" borderId="73" xfId="0" applyBorder="1" applyAlignment="1">
      <alignment horizontal="center"/>
    </xf>
    <xf numFmtId="0" fontId="45" fillId="4" borderId="4" xfId="2" applyFont="1" applyFill="1" applyBorder="1" applyAlignment="1">
      <alignment horizontal="center" vertical="center" wrapText="1"/>
    </xf>
    <xf numFmtId="0" fontId="0" fillId="0" borderId="2" xfId="0" applyBorder="1" applyAlignment="1">
      <alignment horizontal="center" vertical="center" wrapText="1"/>
    </xf>
    <xf numFmtId="0" fontId="10" fillId="2" borderId="42" xfId="5" applyFont="1" applyFill="1" applyBorder="1" applyAlignment="1">
      <alignment horizontal="center" vertical="center" wrapText="1"/>
    </xf>
    <xf numFmtId="0" fontId="10" fillId="2" borderId="45" xfId="5" applyFont="1" applyFill="1" applyBorder="1" applyAlignment="1">
      <alignment horizontal="center" vertical="center" wrapText="1"/>
    </xf>
    <xf numFmtId="0" fontId="10" fillId="2" borderId="7" xfId="5" applyFont="1" applyFill="1" applyBorder="1" applyAlignment="1">
      <alignment horizontal="center" vertical="center" wrapText="1"/>
    </xf>
    <xf numFmtId="0" fontId="10" fillId="2" borderId="71" xfId="5" applyFont="1" applyFill="1" applyBorder="1" applyAlignment="1">
      <alignment horizontal="center" vertical="center" wrapText="1"/>
    </xf>
    <xf numFmtId="0" fontId="10" fillId="2" borderId="74" xfId="5" applyFont="1" applyFill="1" applyBorder="1" applyAlignment="1">
      <alignment horizontal="center" vertical="center" wrapText="1"/>
    </xf>
    <xf numFmtId="0" fontId="10" fillId="2" borderId="73" xfId="5" applyFont="1" applyFill="1" applyBorder="1" applyAlignment="1">
      <alignment horizontal="center" vertical="center" wrapText="1"/>
    </xf>
    <xf numFmtId="0" fontId="10" fillId="13" borderId="44" xfId="5" applyFont="1" applyFill="1" applyBorder="1" applyAlignment="1">
      <alignment horizontal="center" vertical="center" wrapText="1"/>
    </xf>
    <xf numFmtId="0" fontId="10" fillId="13" borderId="45" xfId="5" applyFont="1" applyFill="1" applyBorder="1" applyAlignment="1">
      <alignment horizontal="center" vertical="center" wrapText="1"/>
    </xf>
    <xf numFmtId="0" fontId="10" fillId="13" borderId="0" xfId="5" applyFont="1" applyFill="1" applyBorder="1" applyAlignment="1">
      <alignment horizontal="center" vertical="center" wrapText="1"/>
    </xf>
    <xf numFmtId="0" fontId="10" fillId="13" borderId="71" xfId="5" applyFont="1" applyFill="1" applyBorder="1" applyAlignment="1">
      <alignment horizontal="center" vertical="center" wrapText="1"/>
    </xf>
    <xf numFmtId="0" fontId="10" fillId="13" borderId="72" xfId="5" applyFont="1" applyFill="1" applyBorder="1" applyAlignment="1">
      <alignment horizontal="center" vertical="center" wrapText="1"/>
    </xf>
    <xf numFmtId="0" fontId="10" fillId="13" borderId="73" xfId="5" applyFont="1" applyFill="1" applyBorder="1" applyAlignment="1">
      <alignment horizontal="center" vertical="center" wrapText="1"/>
    </xf>
    <xf numFmtId="0" fontId="45" fillId="4" borderId="42" xfId="2" applyFont="1" applyFill="1" applyBorder="1" applyAlignment="1">
      <alignment horizontal="center" vertical="center" wrapText="1"/>
    </xf>
    <xf numFmtId="0" fontId="45" fillId="4" borderId="45" xfId="2" applyFont="1" applyFill="1" applyBorder="1" applyAlignment="1">
      <alignment horizontal="center" vertical="center" wrapText="1"/>
    </xf>
    <xf numFmtId="0" fontId="39" fillId="6" borderId="38" xfId="3" applyFont="1" applyFill="1" applyBorder="1" applyAlignment="1">
      <alignment horizontal="left" vertical="center" wrapText="1"/>
    </xf>
    <xf numFmtId="0" fontId="39" fillId="6" borderId="46" xfId="3" applyFont="1" applyFill="1" applyBorder="1" applyAlignment="1">
      <alignment horizontal="left" vertical="center" wrapText="1"/>
    </xf>
    <xf numFmtId="0" fontId="39" fillId="6" borderId="39" xfId="3" applyFont="1" applyFill="1" applyBorder="1" applyAlignment="1">
      <alignment horizontal="left" vertical="center" wrapText="1"/>
    </xf>
    <xf numFmtId="0" fontId="10" fillId="0" borderId="0" xfId="1" applyFont="1" applyAlignment="1">
      <alignment horizontal="left" wrapText="1"/>
    </xf>
    <xf numFmtId="0" fontId="10" fillId="0" borderId="0" xfId="1" applyFont="1" applyAlignment="1">
      <alignment wrapText="1"/>
    </xf>
    <xf numFmtId="0" fontId="8" fillId="2" borderId="42" xfId="5" applyFont="1" applyFill="1" applyBorder="1" applyAlignment="1">
      <alignment horizontal="center" vertical="center" wrapText="1"/>
    </xf>
    <xf numFmtId="0" fontId="8" fillId="2" borderId="44" xfId="5" applyFont="1" applyFill="1" applyBorder="1" applyAlignment="1">
      <alignment horizontal="center" vertical="center" wrapText="1"/>
    </xf>
    <xf numFmtId="0" fontId="8" fillId="2" borderId="45" xfId="5" applyFont="1" applyFill="1" applyBorder="1" applyAlignment="1">
      <alignment horizontal="center" vertical="center" wrapText="1"/>
    </xf>
    <xf numFmtId="0" fontId="8" fillId="2" borderId="74" xfId="5" applyFont="1" applyFill="1" applyBorder="1" applyAlignment="1">
      <alignment horizontal="center" vertical="center" wrapText="1"/>
    </xf>
    <xf numFmtId="0" fontId="8" fillId="2" borderId="72" xfId="5" applyFont="1" applyFill="1" applyBorder="1" applyAlignment="1">
      <alignment horizontal="center" vertical="center" wrapText="1"/>
    </xf>
    <xf numFmtId="0" fontId="8" fillId="2" borderId="73" xfId="5" applyFont="1" applyFill="1" applyBorder="1" applyAlignment="1">
      <alignment horizontal="center" vertical="center" wrapText="1"/>
    </xf>
    <xf numFmtId="0" fontId="39" fillId="6" borderId="6" xfId="3" applyFont="1" applyFill="1" applyBorder="1" applyAlignment="1">
      <alignment horizontal="left" vertical="center" wrapText="1"/>
    </xf>
    <xf numFmtId="0" fontId="39" fillId="6" borderId="76" xfId="3" applyFont="1" applyFill="1" applyBorder="1" applyAlignment="1">
      <alignment horizontal="left" vertical="center" wrapText="1"/>
    </xf>
    <xf numFmtId="0" fontId="39" fillId="6" borderId="5" xfId="3" applyFont="1" applyFill="1" applyBorder="1" applyAlignment="1">
      <alignment horizontal="left" vertical="center" wrapText="1"/>
    </xf>
    <xf numFmtId="0" fontId="10" fillId="7" borderId="9" xfId="3" applyFont="1" applyFill="1" applyBorder="1" applyAlignment="1">
      <alignment horizontal="left" vertical="center" wrapText="1"/>
    </xf>
    <xf numFmtId="0" fontId="10" fillId="7" borderId="31" xfId="3" applyFont="1" applyFill="1" applyBorder="1" applyAlignment="1">
      <alignment horizontal="left" vertical="center" wrapText="1"/>
    </xf>
    <xf numFmtId="0" fontId="10" fillId="0" borderId="28" xfId="3" applyFont="1" applyBorder="1" applyAlignment="1">
      <alignment vertical="center" wrapText="1"/>
    </xf>
    <xf numFmtId="0" fontId="10" fillId="0" borderId="28" xfId="3" applyFont="1" applyBorder="1" applyAlignment="1">
      <alignment horizontal="left" vertical="center" wrapText="1"/>
    </xf>
    <xf numFmtId="0" fontId="0" fillId="0" borderId="28" xfId="0" applyBorder="1" applyAlignment="1">
      <alignment horizontal="left" vertical="center" wrapText="1"/>
    </xf>
    <xf numFmtId="0" fontId="10" fillId="7" borderId="28" xfId="3" applyFont="1" applyFill="1" applyBorder="1" applyAlignment="1">
      <alignment horizontal="left" vertical="center" wrapText="1"/>
    </xf>
    <xf numFmtId="0" fontId="40" fillId="0" borderId="0" xfId="0" applyFont="1" applyAlignment="1">
      <alignment horizontal="center" vertical="center"/>
    </xf>
    <xf numFmtId="0" fontId="35" fillId="0" borderId="0" xfId="0" applyFont="1" applyAlignment="1">
      <alignment horizontal="center" vertical="center"/>
    </xf>
    <xf numFmtId="0" fontId="8" fillId="0" borderId="28" xfId="3" applyFont="1" applyBorder="1" applyAlignment="1">
      <alignment horizontal="left" vertical="center" wrapText="1"/>
    </xf>
    <xf numFmtId="0" fontId="16" fillId="0" borderId="52" xfId="3" applyFont="1" applyBorder="1" applyAlignment="1">
      <alignment horizontal="center" vertical="center"/>
    </xf>
    <xf numFmtId="0" fontId="8" fillId="0" borderId="9" xfId="3" applyFont="1" applyBorder="1" applyAlignment="1">
      <alignment horizontal="left" vertical="center" wrapText="1"/>
    </xf>
    <xf numFmtId="0" fontId="8" fillId="0" borderId="31" xfId="3" applyFont="1" applyBorder="1" applyAlignment="1">
      <alignment horizontal="center" vertical="center" textRotation="90" wrapText="1"/>
    </xf>
    <xf numFmtId="0" fontId="8" fillId="0" borderId="28" xfId="3" applyFont="1" applyBorder="1" applyAlignment="1">
      <alignment horizontal="center" vertical="center" textRotation="90" wrapText="1"/>
    </xf>
    <xf numFmtId="0" fontId="10" fillId="0" borderId="39" xfId="3" applyFont="1" applyBorder="1" applyAlignment="1">
      <alignment horizontal="left" wrapText="1"/>
    </xf>
    <xf numFmtId="0" fontId="10" fillId="0" borderId="28" xfId="3" applyFont="1" applyBorder="1" applyAlignment="1">
      <alignment horizontal="left" wrapText="1"/>
    </xf>
    <xf numFmtId="0" fontId="10" fillId="0" borderId="9" xfId="3" applyFont="1" applyBorder="1" applyAlignment="1">
      <alignment horizontal="left" wrapText="1"/>
    </xf>
    <xf numFmtId="0" fontId="10" fillId="0" borderId="8" xfId="3" applyFont="1" applyBorder="1" applyAlignment="1">
      <alignment horizontal="left" wrapText="1"/>
    </xf>
    <xf numFmtId="0" fontId="8" fillId="0" borderId="31" xfId="3" applyFont="1" applyBorder="1" applyAlignment="1">
      <alignment horizontal="left" vertical="center" wrapText="1"/>
    </xf>
  </cellXfs>
  <cellStyles count="11">
    <cellStyle name="Komma 2" xfId="8" xr:uid="{00000000-0005-0000-0000-000000000000}"/>
    <cellStyle name="Link" xfId="5" builtinId="8"/>
    <cellStyle name="Standard" xfId="0" builtinId="0"/>
    <cellStyle name="Standard 2" xfId="6" xr:uid="{00000000-0005-0000-0000-000003000000}"/>
    <cellStyle name="Standard 2 2" xfId="3" xr:uid="{00000000-0005-0000-0000-000004000000}"/>
    <cellStyle name="Standard 2 3" xfId="10" xr:uid="{9A2A0A75-3CCC-4BF4-9E0C-9FECC0326C7A}"/>
    <cellStyle name="Standard 3" xfId="2" xr:uid="{00000000-0005-0000-0000-000005000000}"/>
    <cellStyle name="Standard 3 2" xfId="1" xr:uid="{00000000-0005-0000-0000-000006000000}"/>
    <cellStyle name="Währung 2" xfId="4" xr:uid="{00000000-0005-0000-0000-000007000000}"/>
    <cellStyle name="Währung 3" xfId="7" xr:uid="{00000000-0005-0000-0000-000008000000}"/>
    <cellStyle name="Währung 3 2" xfId="9" xr:uid="{00000000-0005-0000-0000-000009000000}"/>
  </cellStyles>
  <dxfs count="56">
    <dxf>
      <font>
        <b/>
        <i val="0"/>
      </font>
      <fill>
        <patternFill>
          <bgColor rgb="FFFFC000"/>
        </patternFill>
      </fill>
      <border>
        <left style="thin">
          <color auto="1"/>
        </left>
        <right style="thin">
          <color auto="1"/>
        </right>
        <top style="thin">
          <color auto="1"/>
        </top>
        <bottom style="thin">
          <color auto="1"/>
        </bottom>
        <vertical/>
        <horizontal/>
      </border>
    </dxf>
    <dxf>
      <border>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border>
    </dxf>
    <dxf>
      <fill>
        <patternFill>
          <bgColor theme="4" tint="0.79998168889431442"/>
        </patternFill>
      </fill>
      <border>
        <left style="thin">
          <color auto="1"/>
        </left>
        <right style="thin">
          <color auto="1"/>
        </right>
        <top style="thin">
          <color auto="1"/>
        </top>
        <bottom style="thin">
          <color auto="1"/>
        </bottom>
      </border>
    </dxf>
    <dxf>
      <fill>
        <patternFill>
          <bgColor rgb="FFFFFF00"/>
        </patternFill>
      </fill>
    </dxf>
    <dxf>
      <fill>
        <patternFill>
          <bgColor theme="9" tint="0.59996337778862885"/>
        </patternFill>
      </fill>
    </dxf>
    <dxf>
      <font>
        <b/>
        <i val="0"/>
      </font>
      <fill>
        <patternFill>
          <bgColor rgb="FFFFC000"/>
        </patternFill>
      </fill>
      <border>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rgb="FFFFFF00"/>
        </patternFill>
      </fill>
    </dxf>
    <dxf>
      <fill>
        <patternFill>
          <bgColor rgb="FFFFC000"/>
        </patternFill>
      </fill>
    </dxf>
    <dxf>
      <font>
        <b/>
        <i val="0"/>
      </font>
      <fill>
        <patternFill>
          <bgColor rgb="FFFFFF00"/>
        </patternFill>
      </fill>
    </dxf>
    <dxf>
      <font>
        <b/>
        <i val="0"/>
      </font>
      <fill>
        <patternFill>
          <bgColor rgb="FFFFC000"/>
        </patternFill>
      </fill>
    </dxf>
    <dxf>
      <font>
        <b/>
        <i val="0"/>
      </font>
    </dxf>
    <dxf>
      <font>
        <b/>
        <i val="0"/>
      </font>
      <fill>
        <patternFill>
          <bgColor rgb="FFFFFF00"/>
        </patternFill>
      </fill>
    </dxf>
    <dxf>
      <font>
        <b val="0"/>
        <i val="0"/>
      </font>
      <fill>
        <patternFill>
          <bgColor theme="9" tint="0.59996337778862885"/>
        </patternFill>
      </fill>
      <border>
        <left style="thin">
          <color auto="1"/>
        </left>
        <right style="thin">
          <color auto="1"/>
        </right>
        <top style="thin">
          <color auto="1"/>
        </top>
        <bottom style="thin">
          <color auto="1"/>
        </bottom>
        <vertical/>
        <horizontal/>
      </border>
    </dxf>
    <dxf>
      <fill>
        <patternFill>
          <bgColor rgb="FF92D050"/>
        </patternFill>
      </fill>
    </dxf>
    <dxf>
      <fill>
        <patternFill>
          <bgColor rgb="FFFFFF00"/>
        </patternFill>
      </fill>
    </dxf>
    <dxf>
      <font>
        <color auto="1"/>
      </font>
      <fill>
        <patternFill>
          <bgColor rgb="FFFFFF00"/>
        </patternFill>
      </fill>
    </dxf>
    <dxf>
      <fill>
        <patternFill>
          <bgColor theme="4" tint="0.59996337778862885"/>
        </patternFill>
      </fill>
    </dxf>
    <dxf>
      <fill>
        <patternFill>
          <bgColor theme="4" tint="0.59996337778862885"/>
        </patternFill>
      </fill>
    </dxf>
    <dxf>
      <font>
        <b/>
        <i val="0"/>
      </font>
      <fill>
        <patternFill>
          <bgColor theme="4" tint="0.59996337778862885"/>
        </patternFill>
      </fill>
    </dxf>
    <dxf>
      <fill>
        <patternFill>
          <bgColor theme="4" tint="0.59996337778862885"/>
        </patternFill>
      </fill>
    </dxf>
    <dxf>
      <fill>
        <patternFill>
          <bgColor theme="4" tint="0.59996337778862885"/>
        </patternFill>
      </fill>
    </dxf>
    <dxf>
      <font>
        <b/>
        <i val="0"/>
      </font>
      <fill>
        <patternFill>
          <bgColor theme="4" tint="0.59996337778862885"/>
        </patternFill>
      </fill>
    </dxf>
    <dxf>
      <fill>
        <patternFill>
          <bgColor theme="4" tint="0.59996337778862885"/>
        </patternFill>
      </fill>
    </dxf>
    <dxf>
      <fill>
        <patternFill>
          <bgColor theme="4" tint="0.59996337778862885"/>
        </patternFill>
      </fill>
    </dxf>
    <dxf>
      <font>
        <b/>
        <i val="0"/>
      </font>
      <fill>
        <patternFill>
          <bgColor rgb="FFCCFFCC"/>
        </patternFill>
      </fill>
    </dxf>
    <dxf>
      <font>
        <b/>
        <i val="0"/>
      </font>
      <fill>
        <patternFill>
          <bgColor theme="9" tint="0.59996337778862885"/>
        </patternFill>
      </fill>
    </dxf>
    <dxf>
      <font>
        <b/>
        <i val="0"/>
      </font>
      <fill>
        <patternFill>
          <bgColor theme="9" tint="0.39994506668294322"/>
        </patternFill>
      </fill>
    </dxf>
    <dxf>
      <fill>
        <patternFill>
          <bgColor rgb="FFF3D9C3"/>
        </patternFill>
      </fill>
    </dxf>
    <dxf>
      <font>
        <b/>
        <i val="0"/>
      </font>
      <fill>
        <patternFill>
          <bgColor theme="4" tint="0.59996337778862885"/>
        </patternFill>
      </fill>
    </dxf>
    <dxf>
      <font>
        <b/>
        <i val="0"/>
      </font>
      <fill>
        <patternFill>
          <bgColor theme="4" tint="0.59996337778862885"/>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FFFF00"/>
        </patternFill>
      </fill>
    </dxf>
    <dxf>
      <font>
        <b/>
        <i val="0"/>
      </font>
      <fill>
        <patternFill>
          <bgColor rgb="FFFFC000"/>
        </patternFill>
      </fill>
      <border>
        <left style="thin">
          <color auto="1"/>
        </left>
        <right style="thin">
          <color auto="1"/>
        </right>
        <top style="thin">
          <color auto="1"/>
        </top>
        <bottom style="thin">
          <color auto="1"/>
        </bottom>
        <vertical/>
        <horizontal/>
      </border>
    </dxf>
    <dxf>
      <border>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border>
    </dxf>
    <dxf>
      <fill>
        <patternFill>
          <bgColor theme="4" tint="0.79998168889431442"/>
        </patternFill>
      </fill>
      <border>
        <left style="thin">
          <color auto="1"/>
        </left>
        <right style="thin">
          <color auto="1"/>
        </right>
        <top style="thin">
          <color auto="1"/>
        </top>
        <bottom style="thin">
          <color auto="1"/>
        </bottom>
      </border>
    </dxf>
    <dxf>
      <fill>
        <patternFill>
          <bgColor theme="4" tint="0.79998168889431442"/>
        </patternFill>
      </fill>
      <border>
        <left style="thin">
          <color auto="1"/>
        </left>
        <right style="thin">
          <color auto="1"/>
        </right>
        <top style="thin">
          <color auto="1"/>
        </top>
        <bottom style="thin">
          <color auto="1"/>
        </bottom>
      </border>
    </dxf>
    <dxf>
      <fill>
        <patternFill>
          <bgColor theme="9" tint="0.79998168889431442"/>
        </patternFill>
      </fill>
    </dxf>
    <dxf>
      <font>
        <b/>
        <i val="0"/>
      </font>
      <fill>
        <patternFill>
          <bgColor rgb="FFFFC000"/>
        </patternFill>
      </fill>
      <border>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rgb="FFFFFF00"/>
        </patternFill>
      </fill>
    </dxf>
    <dxf>
      <font>
        <b/>
        <i val="0"/>
      </font>
      <fill>
        <patternFill>
          <bgColor rgb="FFFFFF00"/>
        </patternFill>
      </fill>
    </dxf>
    <dxf>
      <font>
        <b/>
        <i val="0"/>
      </font>
    </dxf>
    <dxf>
      <font>
        <b/>
        <i val="0"/>
      </font>
      <fill>
        <patternFill>
          <bgColor rgb="FFFFC000"/>
        </patternFill>
      </fill>
    </dxf>
    <dxf>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rgb="FF92D050"/>
        </patternFill>
      </fill>
    </dxf>
    <dxf>
      <fill>
        <patternFill>
          <bgColor rgb="FFFFFF00"/>
        </patternFill>
      </fill>
    </dxf>
    <dxf>
      <font>
        <b/>
        <i val="0"/>
        <color auto="1"/>
      </font>
      <fill>
        <patternFill>
          <bgColor rgb="FFFFFF00"/>
        </patternFill>
      </fill>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dxf>
  </dxfs>
  <tableStyles count="0" defaultTableStyle="TableStyleMedium2" defaultPivotStyle="PivotStyleLight16"/>
  <colors>
    <mruColors>
      <color rgb="FFFFFF00"/>
      <color rgb="FFF3D9C3"/>
      <color rgb="FFF5DECB"/>
      <color rgb="FFEFCAAB"/>
      <color rgb="FFCC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95250</xdr:colOff>
      <xdr:row>0</xdr:row>
      <xdr:rowOff>21166</xdr:rowOff>
    </xdr:from>
    <xdr:to>
      <xdr:col>6</xdr:col>
      <xdr:colOff>467314</xdr:colOff>
      <xdr:row>0</xdr:row>
      <xdr:rowOff>639607</xdr:rowOff>
    </xdr:to>
    <xdr:pic>
      <xdr:nvPicPr>
        <xdr:cNvPr id="2" name="Grafik 1">
          <a:extLst>
            <a:ext uri="{FF2B5EF4-FFF2-40B4-BE49-F238E27FC236}">
              <a16:creationId xmlns:a16="http://schemas.microsoft.com/office/drawing/2014/main" id="{00000000-0008-0000-0000-00000108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2497667" y="21166"/>
          <a:ext cx="2880314" cy="618441"/>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blurRad="63500" dist="38099" dir="2700000" algn="ctr" rotWithShape="0">
                  <a:srgbClr val="000000">
                    <a:alpha val="74998"/>
                  </a:srgbClr>
                </a:outerShdw>
              </a:effectLst>
            </a14:hiddenEffects>
          </a:ext>
        </a:extLst>
      </xdr:spPr>
    </xdr:pic>
    <xdr:clientData/>
  </xdr:twoCellAnchor>
  <xdr:twoCellAnchor editAs="oneCell">
    <xdr:from>
      <xdr:col>14</xdr:col>
      <xdr:colOff>42333</xdr:colOff>
      <xdr:row>0</xdr:row>
      <xdr:rowOff>63500</xdr:rowOff>
    </xdr:from>
    <xdr:to>
      <xdr:col>16</xdr:col>
      <xdr:colOff>825500</xdr:colOff>
      <xdr:row>0</xdr:row>
      <xdr:rowOff>591185</xdr:rowOff>
    </xdr:to>
    <xdr:pic>
      <xdr:nvPicPr>
        <xdr:cNvPr id="3" name="Grafik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stretch>
          <a:fillRect/>
        </a:stretch>
      </xdr:blipFill>
      <xdr:spPr>
        <a:xfrm>
          <a:off x="12784666" y="63500"/>
          <a:ext cx="2455334" cy="5276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1162050</xdr:colOff>
      <xdr:row>0</xdr:row>
      <xdr:rowOff>57150</xdr:rowOff>
    </xdr:from>
    <xdr:to>
      <xdr:col>1</xdr:col>
      <xdr:colOff>826754</xdr:colOff>
      <xdr:row>3</xdr:row>
      <xdr:rowOff>101727</xdr:rowOff>
    </xdr:to>
    <xdr:pic>
      <xdr:nvPicPr>
        <xdr:cNvPr id="2" name="Grafik 1">
          <a:extLst>
            <a:ext uri="{FF2B5EF4-FFF2-40B4-BE49-F238E27FC236}">
              <a16:creationId xmlns:a16="http://schemas.microsoft.com/office/drawing/2014/main" id="{5F8936C0-878E-4297-AD84-BDABD3C491F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62050" y="57150"/>
          <a:ext cx="3103229" cy="816102"/>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blurRad="63500" dist="38099" dir="2700000" algn="ctr" rotWithShape="0">
                  <a:srgbClr val="000000">
                    <a:alpha val="74998"/>
                  </a:srgbClr>
                </a:outerShdw>
              </a:effectLst>
            </a14:hiddenEffects>
          </a:ext>
        </a:extLst>
      </xdr:spPr>
    </xdr:pic>
    <xdr:clientData/>
  </xdr:twoCellAnchor>
  <xdr:oneCellAnchor>
    <xdr:from>
      <xdr:col>4</xdr:col>
      <xdr:colOff>1562100</xdr:colOff>
      <xdr:row>0</xdr:row>
      <xdr:rowOff>85725</xdr:rowOff>
    </xdr:from>
    <xdr:ext cx="3910894" cy="707453"/>
    <xdr:pic>
      <xdr:nvPicPr>
        <xdr:cNvPr id="3" name="Grafik 2">
          <a:extLst>
            <a:ext uri="{FF2B5EF4-FFF2-40B4-BE49-F238E27FC236}">
              <a16:creationId xmlns:a16="http://schemas.microsoft.com/office/drawing/2014/main" id="{A4418184-157F-418B-8F61-9BFF9663E77A}"/>
            </a:ext>
          </a:extLst>
        </xdr:cNvPr>
        <xdr:cNvPicPr>
          <a:picLocks noChangeAspect="1"/>
        </xdr:cNvPicPr>
      </xdr:nvPicPr>
      <xdr:blipFill>
        <a:blip xmlns:r="http://schemas.openxmlformats.org/officeDocument/2006/relationships" r:embed="rId2"/>
        <a:stretch>
          <a:fillRect/>
        </a:stretch>
      </xdr:blipFill>
      <xdr:spPr>
        <a:xfrm>
          <a:off x="9401175" y="85725"/>
          <a:ext cx="3910894" cy="707453"/>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09D9AE2-25BC-4897-8F34-B419C72898D1}" name="Tabelle2" displayName="Tabelle2" ref="A2:BV82" totalsRowShown="0" headerRowDxfId="55" headerRowCellStyle="Standard 2 2">
  <autoFilter ref="A2:BV82" xr:uid="{409D9AE2-25BC-4897-8F34-B419C72898D1}"/>
  <tableColumns count="74">
    <tableColumn id="1" xr3:uid="{ED6D7DFE-9484-4400-8F64-CDC306F6B3D7}" name="Spalte1"/>
    <tableColumn id="2" xr3:uid="{D7983B59-AE12-4144-AC1C-C9C16291343E}" name="Spalte2"/>
    <tableColumn id="3" xr3:uid="{7330D74A-217F-46A9-A453-2E8422F7EFF5}" name="Spalte3"/>
    <tableColumn id="4" xr3:uid="{74681312-1106-4B80-BCB9-8593CE66A7B6}" name="Spalte4"/>
    <tableColumn id="5" xr3:uid="{7ACCA275-FDB9-45F3-BD29-B6A656A56140}" name="Spalte5"/>
    <tableColumn id="6" xr3:uid="{8D09FDDA-F9C1-4475-92A4-F6A2C3B8FBDE}" name="Spalte6"/>
    <tableColumn id="7" xr3:uid="{CC0C0419-01D7-4C09-A597-137C89F4642F}" name="Spalte7"/>
    <tableColumn id="8" xr3:uid="{FAC3C3AC-3D4D-41E3-92FA-06D7210ACD61}" name="Spalte8"/>
    <tableColumn id="9" xr3:uid="{6588C3BB-7DDF-458D-A75B-657B2A769C36}" name="Spalte9"/>
    <tableColumn id="10" xr3:uid="{D3E8F650-8329-4F5F-A0CA-B6D76D0DCC80}" name="Spalte10"/>
    <tableColumn id="11" xr3:uid="{F000FE75-FF51-4A0B-AB36-C135396634D7}" name="Spalte11"/>
    <tableColumn id="12" xr3:uid="{AD5D94E3-E94D-43AB-A98C-A2B8D9EDC916}" name="Spalte12"/>
    <tableColumn id="13" xr3:uid="{0EB013EF-8EB8-4DCF-B457-81A59EE2EC43}" name="Spalte13"/>
    <tableColumn id="14" xr3:uid="{E97E0DD3-A91A-4577-A991-097B11DEFB4E}" name="Spalte14"/>
    <tableColumn id="15" xr3:uid="{AD456429-1F92-4F7E-8B14-7389C5A49EA4}" name="Spalte15"/>
    <tableColumn id="16" xr3:uid="{700CD758-F546-45F0-A392-C5B5E3A93428}" name="Spalte16"/>
    <tableColumn id="17" xr3:uid="{0D07F11E-A420-4F56-8E5D-561A6E7B8B28}" name="Spalte17"/>
    <tableColumn id="18" xr3:uid="{7D065079-F969-4C98-A09C-A96944800ECB}" name="Spalte18"/>
    <tableColumn id="19" xr3:uid="{1AE4C210-8882-4536-8899-CDB9E3821E1E}" name="Spalte19"/>
    <tableColumn id="20" xr3:uid="{F7B880A7-10FF-47D6-81B9-13F00AFCC07F}" name="Spalte20"/>
    <tableColumn id="21" xr3:uid="{3C3B33BB-55C9-4444-99E5-39301510E52A}" name="Spalte21"/>
    <tableColumn id="22" xr3:uid="{C3A9B7D9-4843-4E7B-9F2A-8AA918281097}" name="Spalte22"/>
    <tableColumn id="23" xr3:uid="{639D57A0-9953-4F43-BC59-7E2E8DFCE08F}" name="Spalte23"/>
    <tableColumn id="24" xr3:uid="{CBCB7589-0A48-4702-811E-8AD90636D4AB}" name="Spalte24"/>
    <tableColumn id="25" xr3:uid="{6E2B7F7D-3A76-44B8-9DB9-FAE1B6A302BF}" name="Spalte25"/>
    <tableColumn id="26" xr3:uid="{B497D291-02C6-466A-B4CB-2F4778A6841C}" name="Spalte26"/>
    <tableColumn id="27" xr3:uid="{18F0CA0C-84C6-45E2-B935-6F7CC2AE4C73}" name="Spalte27"/>
    <tableColumn id="28" xr3:uid="{4D188DBD-D77B-4CB7-AF3B-D746181C13F6}" name="Spalte28"/>
    <tableColumn id="29" xr3:uid="{CB3275BE-1C05-47F9-8D07-32C3E4AEBABE}" name="Spalte29"/>
    <tableColumn id="30" xr3:uid="{58DB74F7-1C53-45E9-93B8-302DF118CAFA}" name="Spalte30"/>
    <tableColumn id="31" xr3:uid="{D2E49535-FD5D-43A2-B372-50BC859723D7}" name="Spalte31"/>
    <tableColumn id="32" xr3:uid="{5DED5330-D19A-40A8-822E-B1A06CD7F915}" name="Spalte32"/>
    <tableColumn id="33" xr3:uid="{3486E14D-DBD8-497D-8D00-7E449D91A0CD}" name="Spalte33"/>
    <tableColumn id="34" xr3:uid="{88FDF55B-54CE-410C-9D0C-1506EB16D6F1}" name="Spalte34"/>
    <tableColumn id="35" xr3:uid="{2959DEC1-0D97-484A-896D-6027A64F632A}" name="Spalte35"/>
    <tableColumn id="36" xr3:uid="{5409AB6B-4B07-439F-9402-6B305C37D2E3}" name="Spalte36"/>
    <tableColumn id="37" xr3:uid="{555D9858-14B1-4943-8F1D-CB3B59EC6853}" name="Spalte37"/>
    <tableColumn id="38" xr3:uid="{46A9D148-3EF0-421D-ACDA-BAD8CD539412}" name="Spalte38"/>
    <tableColumn id="39" xr3:uid="{35D92949-442D-4613-9111-641C789E111E}" name="Spalte39"/>
    <tableColumn id="40" xr3:uid="{597135CE-459D-4A05-9004-D689E8C0FFDA}" name="Spalte40"/>
    <tableColumn id="41" xr3:uid="{D2240DBF-E263-44BF-B831-74F941AEA0BD}" name="Spalte41"/>
    <tableColumn id="42" xr3:uid="{C12EE4EF-1270-4C41-9B54-C9F031C12E41}" name="Spalte42"/>
    <tableColumn id="43" xr3:uid="{F2238A1B-43BB-465F-9509-3AEEE3F8A8E0}" name="Spalte43"/>
    <tableColumn id="44" xr3:uid="{5578FAE3-CDAC-49BE-9BAC-85B2EC993E3E}" name="Spalte44"/>
    <tableColumn id="45" xr3:uid="{F3E9F594-9C40-4A7B-BF68-E69F1A9A4CF0}" name="Spalte45"/>
    <tableColumn id="46" xr3:uid="{F9BEA8B7-B383-4D13-9497-8FF6358D1316}" name="Spalte46"/>
    <tableColumn id="47" xr3:uid="{6F30DACA-DAFC-4A5E-AFDD-0647D75BE273}" name="Spalte47"/>
    <tableColumn id="48" xr3:uid="{F67D62D5-BDD8-4F63-8F8B-59BC71622322}" name="Spalte48"/>
    <tableColumn id="49" xr3:uid="{131D8CE1-A534-4FBA-A4A2-37B491EBA814}" name="Spalte49"/>
    <tableColumn id="50" xr3:uid="{569105F9-5DEB-4FFA-95B6-7639EE04EA1E}" name="Spalte50"/>
    <tableColumn id="51" xr3:uid="{A75876D1-55CC-4833-8E4D-720D795D3069}" name="Spalte51"/>
    <tableColumn id="52" xr3:uid="{C529A1BC-5629-450D-868C-EB25044D18BA}" name="Spalte52"/>
    <tableColumn id="53" xr3:uid="{FD7C6C78-AD4F-4D0B-B993-E23C3C24895E}" name="Spalte53"/>
    <tableColumn id="54" xr3:uid="{779E7F0E-5207-4111-AF2F-907F2B7ADB95}" name="Spalte54"/>
    <tableColumn id="55" xr3:uid="{6CCC2A54-A0B2-4C21-BCBB-9ABF64763672}" name="Spalte55"/>
    <tableColumn id="56" xr3:uid="{49B80D55-6373-44D6-9A26-E53F1BFD7B1C}" name="Spalte56"/>
    <tableColumn id="57" xr3:uid="{7AB5DF62-6731-41D0-935C-859D39D482A5}" name="Spalte57"/>
    <tableColumn id="58" xr3:uid="{EAD5DD05-11C6-464E-A7C0-9185D06B3D62}" name="Spalte58"/>
    <tableColumn id="59" xr3:uid="{13A7828C-1338-4049-B981-B571F1BA3C04}" name="Spalte59"/>
    <tableColumn id="60" xr3:uid="{489E27A1-C399-490B-9075-21020FA8852A}" name="Spalte60"/>
    <tableColumn id="61" xr3:uid="{26DEF046-2423-4328-B6F5-96F10A9A7211}" name="Spalte61"/>
    <tableColumn id="62" xr3:uid="{A75293F3-2CC2-4A95-ABFE-22DC880DBD87}" name="Spalte62"/>
    <tableColumn id="63" xr3:uid="{E691524D-22E5-4A0F-B341-1BA391313875}" name="Spalte63"/>
    <tableColumn id="64" xr3:uid="{69A57AF5-7BD0-4E5D-B0B2-05265A8BDA23}" name="Spalte64"/>
    <tableColumn id="65" xr3:uid="{655372D7-D776-49BE-9B2C-B221A3B5438D}" name="Spalte65"/>
    <tableColumn id="66" xr3:uid="{2E872412-341F-466C-BBD8-49B096708BA3}" name="Spalte66"/>
    <tableColumn id="67" xr3:uid="{EC2C2DC8-DF10-43C2-99B7-8A6DA0199C5D}" name="Spalte67"/>
    <tableColumn id="68" xr3:uid="{FD7ECEF7-5DA8-4369-BEDD-887F130153E8}" name="Spalte68"/>
    <tableColumn id="69" xr3:uid="{A6B8D0B9-4EED-421E-B6DA-B661D1DE67F5}" name="Spalte69"/>
    <tableColumn id="70" xr3:uid="{43CEF6B5-F919-44A6-A556-8D1DB280F38F}" name="Spalte70"/>
    <tableColumn id="71" xr3:uid="{12247201-B846-4046-BDF7-9AEE1CB91D76}" name="Spalte71"/>
    <tableColumn id="72" xr3:uid="{A5749908-3865-4F4D-8E5B-60BD5F1E4E57}" name="Spalte72"/>
    <tableColumn id="73" xr3:uid="{84E0216C-0C98-4499-92A0-91123D7C6526}" name="Spalte73"/>
    <tableColumn id="74" xr3:uid="{E263F844-6D1D-4EFF-8A17-3DCD550EF5F5}" name="Spalte7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4143092-3E3D-44A7-A7E3-5EE3D1836FAA}" name="Tabelle3" displayName="Tabelle3" ref="A1:BU79" totalsRowShown="0">
  <autoFilter ref="A1:BU79" xr:uid="{E4143092-3E3D-44A7-A7E3-5EE3D1836FAA}"/>
  <tableColumns count="73">
    <tableColumn id="1" xr3:uid="{47D20537-30C2-46D0-8049-9B92E9D90092}" name="Mischungsbezeichnung"/>
    <tableColumn id="2" xr3:uid="{5FCA3B4E-5DBA-4900-BBDB-5C4B467D3595}" name="Spalte1"/>
    <tableColumn id="3" xr3:uid="{873F26E4-593B-4091-9B7D-23792CC626BE}" name="Spalte2"/>
    <tableColumn id="4" xr3:uid="{9B73B5E2-4065-4981-AF8E-1DAB83901FB9}" name="Abessinischer Senf ">
      <calculatedColumnFormula>IF(VLOOKUP($A2,Tabelle1!$A$4:$BU$83,5,0)&lt;&gt;"",D$1,"")</calculatedColumnFormula>
    </tableColumn>
    <tableColumn id="5" xr3:uid="{FE664A44-15A3-456C-9359-6452F39CE4DE}" name="Ackerbohne"/>
    <tableColumn id="6" xr3:uid="{98259E6E-13A1-4E32-9467-478BAB278794}" name="Alexandrinerklee"/>
    <tableColumn id="7" xr3:uid="{66680148-853E-45DA-B979-EB2ECCC64E0F}" name="Bastardraygras"/>
    <tableColumn id="8" xr3:uid="{0F4446AD-6A5E-467C-A0B0-96C350168681}" name="Lupine"/>
    <tableColumn id="9" xr3:uid="{F4B68011-9CD0-444E-A616-EB7FBA7B4717}" name="Buchweizen "/>
    <tableColumn id="10" xr3:uid="{96E22067-8881-47B3-9D5C-50EE229FEBD8}" name="Einjähriges Raygras (Westerwoldisches Raygras)"/>
    <tableColumn id="11" xr3:uid="{627BF591-9553-43C1-B67E-EF718AF938BA}" name="Englisches Raygras (Deutsches Weidelgras)"/>
    <tableColumn id="12" xr3:uid="{E036F3FF-B70E-4D7F-9B92-52D11740CFD6}" name="Esparsette"/>
    <tableColumn id="13" xr3:uid="{7FE9AA25-AFA0-4FBA-8120-D2B788BF5081}" name="Futtererbse"/>
    <tableColumn id="14" xr3:uid="{03D11C0C-33BA-4ABB-9751-D60D590239E6}" name="Futterkohl"/>
    <tableColumn id="15" xr3:uid="{9E630459-287A-41FE-8B32-57643E2AD9F9}" name="Gelbklee (Hopfenklee)"/>
    <tableColumn id="16" xr3:uid="{6A7C47A9-4FE6-4DF5-8290-0D5C27A770A2}" name="Grünschnittroggen"/>
    <tableColumn id="17" xr3:uid="{93F00E00-7323-474A-8C88-C4EDFEC7CE1C}" name="Herbstrübe"/>
    <tableColumn id="18" xr3:uid="{F1B6E8DA-FBD7-4514-9D27-6A68372F3685}" name="Hirse"/>
    <tableColumn id="19" xr3:uid="{709A120D-F46D-4E9A-951D-AE13AAE3DEA0}" name="Hornklee"/>
    <tableColumn id="20" xr3:uid="{8B915A28-D5F5-4573-BD27-169E6FB23810}" name="Inkarnatklee"/>
    <tableColumn id="21" xr3:uid="{175E2498-2D96-4E6F-93A8-7F0065991260}" name="Italienisches Raygras (Welsches Weidelgras)"/>
    <tableColumn id="22" xr3:uid="{D0FD6849-1550-41CD-95B4-244C4DFFBE2C}" name="Kresse"/>
    <tableColumn id="23" xr3:uid="{39955D2F-120C-47E6-BD9F-0E470F885EA8}" name="Krumenklee"/>
    <tableColumn id="24" xr3:uid="{89A5CEAC-838C-4764-BCBD-A4767572C8BE}" name="Malve"/>
    <tableColumn id="25" xr3:uid="{AB3B6B5C-4DB2-45D8-B919-0F726C2B26A4}" name="Leindotter"/>
    <tableColumn id="26" xr3:uid="{13716145-075A-411A-B66A-5FCD40D4E880}" name="Linse"/>
    <tableColumn id="27" xr3:uid="{5F95B70C-A788-470A-9323-735F697730D5}" name="Luzerne"/>
    <tableColumn id="28" xr3:uid="{E207EB64-EA4E-497B-A5CE-E560E2AC7F90}" name="Meliorationsrettich"/>
    <tableColumn id="29" xr3:uid="{D48C9E1C-45CE-446C-9363-ACBD60B26C8D}" name="Schwarzsamen/Ramtilkraut/Gingellikraut/Mungo"/>
    <tableColumn id="30" xr3:uid="{82D844FE-18AE-4BDD-B315-859FECE3F24B}" name="Öllein"/>
    <tableColumn id="31" xr3:uid="{7A79025A-E4D5-4D7A-AC93-9FB79247A39C}" name="Ölrettich"/>
    <tableColumn id="32" xr3:uid="{915E9559-8FE9-49CD-9DD2-E1B92DFC4CEC}" name="Ölrettich nematodenhemmend"/>
    <tableColumn id="33" xr3:uid="{2CC244D7-0629-448A-9436-B48498449269}" name="Persischer Klee"/>
    <tableColumn id="34" xr3:uid="{B70EA6B0-E646-4F00-BFA8-45DB09D675F9}" name="Phazelie"/>
    <tableColumn id="35" xr3:uid="{E774B352-283A-4236-A23F-DC5395B44163}" name="Pigmentplatterbse"/>
    <tableColumn id="36" xr3:uid="{80EEF581-DD6D-4D5F-BF97-4D1EF2A8DEB1}" name="Ringelblume "/>
    <tableColumn id="37" xr3:uid="{561F3EB7-936A-4EEA-A68F-9B3781F4D51E}" name="Rotklee"/>
    <tableColumn id="38" xr3:uid="{C0019E94-194F-4BEE-B53C-FA25665D7A7C}" name="Saatplatterbse"/>
    <tableColumn id="39" xr3:uid="{F7106BB9-C081-4CD9-9F8C-649853471E69}" name="Saatwicke / Sommerwicke"/>
    <tableColumn id="40" xr3:uid="{33D0D664-26DB-4E3F-86FF-4B2E426AF970}" name="Saflor"/>
    <tableColumn id="41" xr3:uid="{D0CF41D2-FFFA-45AF-BF5F-A441C8432C82}" name="Sandhafer / Rauhafer"/>
    <tableColumn id="42" xr3:uid="{73AC9095-A10E-46CE-8F1B-36D1530C3DBF}" name="Sarepta-Senf"/>
    <tableColumn id="43" xr3:uid="{E72C1363-030A-43F2-8667-981863DECC60}" name="Schwedenklee"/>
    <tableColumn id="44" xr3:uid="{EF8CD252-BE9A-44D5-AFC5-182FAE1C399D}" name="Senf"/>
    <tableColumn id="45" xr3:uid="{20B49A45-B973-4D78-9299-FCB9D4EAB6F9}" name="Senf nematodenhemmend / neamtodenresistent"/>
    <tableColumn id="46" xr3:uid="{6A274E39-CEAC-429B-8AF7-C238E8337F5A}" name="Sommerfutterraps"/>
    <tableColumn id="47" xr3:uid="{EBEE0938-8591-47CC-940E-18E08B1A7F3F}" name="Sonnenblume"/>
    <tableColumn id="48" xr3:uid="{9D19B05E-7733-4DBB-9358-31D7612CAB27}" name="Spitzwegerich"/>
    <tableColumn id="49" xr3:uid="{09E833AA-E8C9-4751-8891-72DD8BC8B3D4}" name="Steinklee gelb"/>
    <tableColumn id="50" xr3:uid="{ADA7B959-BFC7-493D-8F5E-F61961DAD41A}" name="Sudangras"/>
    <tableColumn id="51" xr3:uid="{D54EFCD0-4CF7-413F-9A61-C19E7A8D7C53}" name="Waldstaudenroggen"/>
    <tableColumn id="52" xr3:uid="{205885BB-8A79-45B6-9586-9319852ADD22}" name="Weißklee"/>
    <tableColumn id="53" xr3:uid="{3872D44E-E506-49EA-8478-BCDF14145A8E}" name="Winterfuttererbse"/>
    <tableColumn id="54" xr3:uid="{0946C6CD-E5A7-43EA-A10B-E1FAB5A0906E}" name="Winterfutterraps"/>
    <tableColumn id="55" xr3:uid="{93FAA642-B126-468D-B083-194A15E5E867}" name="Winterrübsen"/>
    <tableColumn id="56" xr3:uid="{DCC6079F-D1EC-4058-8868-0F9577AA87DA}" name="Winterwicke Pannonisch"/>
    <tableColumn id="57" xr3:uid="{8DE80191-2461-4466-B78F-A47F6032F263}" name="Zichorie"/>
    <tableColumn id="58" xr3:uid="{8020A5A1-44FA-48E7-99C5-4DE379FE392F}" name="Zwerghirse"/>
    <tableColumn id="59" xr3:uid="{33A16A77-90DE-4A41-AA69-7EC5EA3B43A0}" name="Duringras"/>
    <tableColumn id="60" xr3:uid="{82BC4608-6EB9-4F7C-9C7A-B4D659AC75F2}" name="Seradella"/>
    <tableColumn id="61" xr3:uid="{DDA037CC-A642-4B99-A142-B86DF673B5A7}" name="Körnererbse"/>
    <tableColumn id="62" xr3:uid="{F3531995-7EA6-4B0B-8B5A-3A86007FD5C7}" name="Sojabohne"/>
    <tableColumn id="63" xr3:uid="{99433C53-74CF-40E5-9422-5C763D0C58AB}" name="Kümmel"/>
    <tableColumn id="64" xr3:uid="{6B0A37AE-1C9B-4E51-A8FF-E14A5AB082F8}" name="Koriander"/>
    <tableColumn id="65" xr3:uid="{B1CD0CE6-4E47-440A-A858-02615731DCD5}" name="Wegwarte"/>
    <tableColumn id="66" xr3:uid="{57DB0678-6D75-44AC-8F66-42AAF7BD5115}" name="Stoppelrübe"/>
    <tableColumn id="67" xr3:uid="{00F04AEE-A997-48D3-8170-70A3AF33A75F}" name="Markstammkohl"/>
    <tableColumn id="68" xr3:uid="{76344D27-8E75-4A53-BF78-D7EFE219B39C}" name="Gelbhirse"/>
    <tableColumn id="69" xr3:uid="{8C6E24A6-4417-4CF0-BE32-27E35F627DFD}" name="Grünmais"/>
    <tableColumn id="70" xr3:uid="{6A38B7B9-DDB8-455C-9E2B-66C94CA0EEB7}" name="Süßlupine"/>
    <tableColumn id="71" xr3:uid="{2279F0F3-A209-45C8-B74B-1BBD3BE070EF}" name="Fenchel"/>
    <tableColumn id="72" xr3:uid="{E312C655-681F-4768-9A91-F453FA6D8EA8}" name="Studentenblume"/>
    <tableColumn id="73" xr3:uid="{6135DB29-10A2-42CB-9B2E-12412550CE7A}" name="Sparriger Kle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B8C4940-412C-426A-8580-DD80A6504354}" name="Tabelle1" displayName="Tabelle1" ref="A1:CA71" totalsRowShown="0">
  <autoFilter ref="A1:CA71" xr:uid="{EB8C4940-412C-426A-8580-DD80A6504354}"/>
  <tableColumns count="79">
    <tableColumn id="1" xr3:uid="{F68BD051-AA38-4D2D-9C9B-452A467E68AC}" name="Spalte1"/>
    <tableColumn id="2" xr3:uid="{903DDE62-F078-4F31-8AC5-1FA5E2EA5059}" name="DIVERSITÄTSMISCHUNG ÖPUL 2023"/>
    <tableColumn id="3" xr3:uid="{C2DBA13C-3E81-4F46-B36C-0562FE8C3C13}" name="BODENFIT"/>
    <tableColumn id="4" xr3:uid="{656C832F-D130-42C1-89E7-26CA4D86052F}" name="FABAFIT"/>
    <tableColumn id="5" xr3:uid="{8DEC1EA2-E525-42C4-9225-E92861A25CEE}" name="FUTTERPROFI  EI überjähriges Kleegras"/>
    <tableColumn id="6" xr3:uid="{D17F3739-36A2-4351-A625-601659E23C58}" name="Habitat - Bündnis pro NW"/>
    <tableColumn id="7" xr3:uid="{AE2C6F05-586D-43C7-A0FF-21D84E3E17E4}" name="Landsberger Gemenge "/>
    <tableColumn id="8" xr3:uid="{26014838-DE75-42AC-921D-870A734CAAF2}" name="LEGUMIX"/>
    <tableColumn id="9" xr3:uid="{2074E2CF-86C0-4BCE-94A0-46392D250572}" name="NITROFIT"/>
    <tableColumn id="10" xr3:uid="{2978CEA1-CAE6-4B5E-AC9C-29527FB1E978}" name="ÖPULFIT"/>
    <tableColumn id="11" xr3:uid="{59233715-CC26-4338-ABB7-F4B5416D265C}" name="RAPSFIT"/>
    <tableColumn id="12" xr3:uid="{20E865F5-9B3B-4837-BA08-E48FC354E4A4}" name="Wassergüte FEIN"/>
    <tableColumn id="13" xr3:uid="{7ED0D118-236C-4356-9175-08BADCF6CA76}" name="Wassergüte FRÜH"/>
    <tableColumn id="14" xr3:uid="{AC4F27A8-CAF5-47B3-A263-AAD578D049F5}" name="Wassergüte RAU"/>
    <tableColumn id="15" xr3:uid="{F8296BC5-017A-4D2D-A842-F224833F210E}" name="UNDERCOVER"/>
    <tableColumn id="16" xr3:uid="{F7747D99-9F43-42D5-8D92-937A34F0B8FF}" name="HYDROFIT"/>
    <tableColumn id="17" xr3:uid="{BBA86FA0-BF07-440A-82E1-AF27C22E58A7}" name="AckerGrün Begrünungsmischung AquaPluss früh"/>
    <tableColumn id="18" xr3:uid="{9571550B-2D1D-4400-A62C-6CE5DCE8691F}" name="AckerGrün Begrünungsmischung BioPluss BIO"/>
    <tableColumn id="19" xr3:uid="{42687259-D325-499F-A14B-7482EC802324}" name="AckerGrün Begrünungsmischung BodenlockerungsPluss  "/>
    <tableColumn id="20" xr3:uid="{A91A40FE-2EEA-40C0-9C71-A51866F8DB8D}" name="AckerGrün Begrünungsmischung BodenPluss  "/>
    <tableColumn id="21" xr3:uid="{F3686808-0A36-4EE6-8911-70A5D7A6B28D}" name="AckerGrün Begrünungsmischung HumusPluss "/>
    <tableColumn id="22" xr3:uid="{4AD9E866-F463-4593-A66D-33A261B6F503}" name="AckerGrün Begrünungsmischung FruchtfolgePluss "/>
    <tableColumn id="23" xr3:uid="{21662649-BF0A-4224-8695-AE8FD65CA570}" name="AckerGrün Begrünungsmischung SpeedPluss"/>
    <tableColumn id="24" xr3:uid="{B65FB910-A98A-4E6D-A3E3-284A31CC27C9}" name="AckerGrün Begrünungsmischung ÖpulPluss "/>
    <tableColumn id="25" xr3:uid="{FAA4AB56-E18C-42EE-9D34-6AC8157F0D90}" name="AckerGrün Begrünungsmischung ÖpulPluss BIO"/>
    <tableColumn id="26" xr3:uid="{1650FF4D-4384-440C-A813-43529D6E55A8}" name="AckerGrün Begrünungsmischung KürbisPluss"/>
    <tableColumn id="27" xr3:uid="{6D32043B-D56B-473E-9332-DE32E7DBBD6E}" name="AckerGrün WeingartenPluss  "/>
    <tableColumn id="28" xr3:uid="{3ADA40F4-0AE5-433A-9B56-C80BB175ADB3}" name="AckerGrün WeingartenPluss  BIO"/>
    <tableColumn id="29" xr3:uid="{8BB07DC9-5145-43EC-9530-18E88BF643D8}" name="AckerGrün Leguminosengemenge "/>
    <tableColumn id="30" xr3:uid="{25BE66AA-DB7C-42CC-9D3A-004EDA52E32D}" name="AckerGrün Leguminosengemenge BIO"/>
    <tableColumn id="31" xr3:uid="{F57066AB-6EA8-4CAD-B45E-18E69AB1A732}" name="AckerGrün Biodiversitätmischung BIOLebensraumPluss "/>
    <tableColumn id="32" xr3:uid="{4132263D-3ED6-40F4-BD55-A74F5A493519}" name="AckerGrün Biodiversitätmischung BlütenPluss "/>
    <tableColumn id="33" xr3:uid="{CF3D1539-88F1-4D9F-B05D-2F7E8EDD60C0}" name="AckerGrün Biodiversitätsmischung BienentrachtPluss "/>
    <tableColumn id="34" xr3:uid="{382C5811-4E74-442A-8E97-64F255BA3CEF}" name="AckerGrün Biodiversitätsmischung BlühmixPluss"/>
    <tableColumn id="35" xr3:uid="{6A646FB6-2A9A-4F7F-96F8-3CE5BE1D9DC1}" name="AckerGrün BioUntersaatPluss "/>
    <tableColumn id="36" xr3:uid="{1763949E-D6E1-4090-9F23-EE18D5817EFC}" name="AckerGrün UntersaatPluss "/>
    <tableColumn id="37" xr3:uid="{133CD2C6-1532-4FE5-83C0-DEDA636E9821}" name="AckerGrün RapsuntersaatPluss"/>
    <tableColumn id="38" xr3:uid="{AA2967AD-C1F9-44AF-9298-ACE0E946904F}" name="Einsömmerige Kleegrasmischung  EZ - DIE SAAT - ÖAG - Qualitätssaatgutmischung "/>
    <tableColumn id="39" xr3:uid="{296FC574-E15F-4FBD-B31A-EE1A7D136590}" name="WiesenGrün Landsberger Gemenge ST 1"/>
    <tableColumn id="40" xr3:uid="{B6D00A76-707B-4BE5-8217-36D2BC097288}" name="WiesenGrün Landsberger Gemenge BIO ST 1"/>
    <tableColumn id="41" xr3:uid="{6B3E91F2-C433-4380-8715-BD2B928D41E5}" name="HR 134 Ackeruntersaat"/>
    <tableColumn id="42" xr3:uid="{3BCD8E24-BFF1-4BC2-B2EB-8ABF00237F16}" name="HR 135 Soja - Fit"/>
    <tableColumn id="43" xr3:uid="{60ABE51E-54B6-4F2F-AA50-959F477A4FD0}" name="HR 136 Drahtwurm - Fit"/>
    <tableColumn id="44" xr3:uid="{A1DEC4BF-55FD-4194-956F-9C44A94F1DF8}" name="HR 137 Gründecke mit Meliorationsrettich   H2O+    (Wasserschutz)"/>
    <tableColumn id="45" xr3:uid="{EA5E256A-D99F-4F76-A7C8-13DD830D7DE8}" name="HR 140 Gründecke Classic   IBM/Bienen"/>
    <tableColumn id="46" xr3:uid="{D917D0ED-28B0-4B7D-AF2A-36C33FA1FC4C}" name="HR 141 Gründecke Nematoden    IBM/Bienen"/>
    <tableColumn id="47" xr3:uid="{E61C11D9-81BE-4841-9C11-DEF98E4ED2F8}" name="HR 142 Gründecke  Universal  IBM/Bienen"/>
    <tableColumn id="48" xr3:uid="{A80F8F6C-A055-4DF5-A23F-16D3FC198286}" name="HR 143 Gründecke Spezial  IBM/Bienen"/>
    <tableColumn id="49" xr3:uid="{53D76418-07A0-4387-87C2-98DC3A965909}" name="HR 145 Gründecke Vital IBM/Bienen"/>
    <tableColumn id="50" xr3:uid="{4A532E69-F360-4AC2-A6D3-233195B5D23A}" name="HR 146 Gründecke Plus     IBM/Bienen"/>
    <tableColumn id="51" xr3:uid="{022A2014-A7A0-41BB-9C5A-2B863DBB6746}" name="HR 147 Rapsuntersaat"/>
    <tableColumn id="52" xr3:uid="{1B082108-486F-4A22-9187-8E46A8DB5151}" name="TL WarmSeason AT"/>
    <tableColumn id="53" xr3:uid="{2AB35263-9F3A-4A42-B2EA-4D6F937DB5E7}" name="TL CoolSeason"/>
    <tableColumn id="54" xr3:uid="{5FB788AD-F035-40D9-8578-3A57FB60AFAF}" name="TL AquaPro"/>
    <tableColumn id="55" xr3:uid="{A6847A79-9F02-4089-9CF4-C9852F3A833A}" name="TL VitaMaxx TR AT"/>
    <tableColumn id="56" xr3:uid="{4D630AF9-BDE8-459B-BC8B-175EEA5733DB}" name="TL Rigol TR"/>
    <tableColumn id="57" xr3:uid="{0070D210-9F0A-4685-B05C-0C161C12CAFB}" name="TL MaisPro TR (Greening 50)"/>
    <tableColumn id="58" xr3:uid="{C0D3A943-D017-482E-B5D6-E9933C4FFC41}" name="TL Beta Maxx TR"/>
    <tableColumn id="59" xr3:uid="{15556686-0223-40AA-8CB4-706EAE8D2FE0}" name="TL Beta Maxx 50 (mit Lupine)"/>
    <tableColumn id="60" xr3:uid="{AC224D92-E997-4AE9-AC39-E3D46529653B}" name="TL SolaRigol AT"/>
    <tableColumn id="61" xr3:uid="{A317937F-8024-4491-A1DC-FC3A190BDC17}" name="TL SolaRigol (mit Lupine)"/>
    <tableColumn id="62" xr3:uid="{10A415BA-9D4A-4AC6-AB9A-561EA02BD1AA}" name="TL N-Fixx"/>
    <tableColumn id="63" xr3:uid="{0913D0F1-6DB9-4BB4-B71B-CB68462E3184}" name="TL SolaRigol R"/>
    <tableColumn id="64" xr3:uid="{AD6D4057-8A1B-407C-A748-E384435C310E}" name="TL FutterGreen einjährig "/>
    <tableColumn id="65" xr3:uid="{67F3E05D-9D15-43D4-A5EF-BB771178BF69}" name="TL BioMax Bio"/>
    <tableColumn id="66" xr3:uid="{9E9B3FE1-521D-41BA-8126-93967645E1DC}" name="TL AquaPro Bio"/>
    <tableColumn id="67" xr3:uid="{031DB006-B0A1-47D7-BFED-DDB90B0C8436}" name="TL BetaMaxx Bio"/>
    <tableColumn id="68" xr3:uid="{657453CA-F172-4967-B639-4B615F5695ED}" name="TL Solanum Bio"/>
    <tableColumn id="69" xr3:uid="{0B587CAA-1034-4149-ADB0-977E5FD27F8B}" name="BETA-FLORIN SH (Feuchtgebiet)"/>
    <tableColumn id="70" xr3:uid="{65F18FFA-C157-467A-BDB8-0293A3CC1578}" name="BETA-FLORIN TG PLUS (Trockengebiet)"/>
    <tableColumn id="71" xr3:uid="{5A9352EF-E476-442A-A8DC-E62377D2F396}" name="7er Mischung"/>
    <tableColumn id="72" xr3:uid="{18B8A0FA-EF1F-4AAA-AA5F-8017052B47F5}" name="winterhart + abfrostend"/>
    <tableColumn id="73" xr3:uid="{69F1A297-9337-4E56-8B34-7E4C51F5F23D}" name="Kreuzblütlerfrei"/>
    <tableColumn id="74" xr3:uid="{C430B5C2-466A-4721-A7D8-1B168EFF8433}" name="Bienenmischung - früher Anbau"/>
    <tableColumn id="75" xr3:uid="{9A62691B-3F76-4984-B1F7-5C86A909CA0D}" name="Bienenmischung später Anbau"/>
    <tableColumn id="76" xr3:uid="{2ACC079B-48C7-4377-AD08-01D82352958D}" name="Boden-Booster"/>
    <tableColumn id="77" xr3:uid="{49A52C10-DB89-4621-B3A5-927CE1981C75}" name="Standardmischung"/>
    <tableColumn id="78" xr3:uid="{4DC856EA-BB39-43C0-82AD-DE248674C3ED}" name="September"/>
    <tableColumn id="79" xr3:uid="{5F4BE6B5-746B-4C91-9866-4C91A38E2960}" name="Wurzelstark"/>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imon.kriegner-schramml@lk-ooe.at" TargetMode="External"/><Relationship Id="rId1" Type="http://schemas.openxmlformats.org/officeDocument/2006/relationships/hyperlink" Target="https://www.bwsb.at/"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rinterSettings" Target="../printerSettings/printerSettings6.bin"/><Relationship Id="rId1" Type="http://schemas.openxmlformats.org/officeDocument/2006/relationships/hyperlink" Target="https://www.ages.at/pflanze/saat-und-pflanzgut/biosaatgut-datenbank" TargetMode="External"/><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U30"/>
  <sheetViews>
    <sheetView tabSelected="1" zoomScale="80" zoomScaleNormal="80" workbookViewId="0">
      <selection activeCell="A5" sqref="A5:T6"/>
    </sheetView>
  </sheetViews>
  <sheetFormatPr baseColWidth="10" defaultRowHeight="14.25" x14ac:dyDescent="0.2"/>
  <cols>
    <col min="2" max="2" width="9.625" customWidth="1"/>
    <col min="6" max="6" width="12.125" customWidth="1"/>
    <col min="8" max="8" width="15.875" customWidth="1"/>
    <col min="10" max="10" width="15.5" customWidth="1"/>
    <col min="12" max="12" width="14.75" customWidth="1"/>
    <col min="14" max="14" width="12.75" customWidth="1"/>
    <col min="20" max="20" width="13.375" customWidth="1"/>
    <col min="21" max="21" width="14.75" customWidth="1"/>
  </cols>
  <sheetData>
    <row r="1" spans="1:20" ht="53.25" customHeight="1" thickBot="1" x14ac:dyDescent="0.25">
      <c r="A1" s="477" t="s">
        <v>550</v>
      </c>
      <c r="B1" s="478"/>
      <c r="C1" s="478"/>
      <c r="D1" s="478"/>
      <c r="E1" s="478"/>
      <c r="F1" s="478"/>
      <c r="G1" s="478"/>
      <c r="H1" s="478"/>
      <c r="I1" s="478"/>
      <c r="J1" s="478"/>
      <c r="K1" s="478"/>
      <c r="L1" s="478"/>
      <c r="M1" s="478"/>
      <c r="N1" s="478"/>
      <c r="O1" s="478"/>
      <c r="P1" s="478"/>
      <c r="Q1" s="478"/>
      <c r="R1" s="478"/>
      <c r="S1" s="478"/>
      <c r="T1" s="479"/>
    </row>
    <row r="2" spans="1:20" ht="28.5" customHeight="1" thickBot="1" x14ac:dyDescent="0.25">
      <c r="A2" s="165" t="s">
        <v>307</v>
      </c>
      <c r="B2" s="487" t="s">
        <v>308</v>
      </c>
      <c r="C2" s="488"/>
      <c r="D2" s="149"/>
      <c r="E2" s="483" t="s">
        <v>310</v>
      </c>
      <c r="F2" s="484"/>
      <c r="G2" s="484"/>
      <c r="H2" s="485" t="s">
        <v>309</v>
      </c>
      <c r="I2" s="485"/>
      <c r="J2" s="486"/>
      <c r="L2" s="230" t="s">
        <v>316</v>
      </c>
      <c r="M2" s="233">
        <v>20250701</v>
      </c>
      <c r="T2" s="151"/>
    </row>
    <row r="3" spans="1:20" x14ac:dyDescent="0.2">
      <c r="A3" s="150"/>
      <c r="B3" s="163"/>
      <c r="D3" s="164"/>
      <c r="E3" s="164"/>
      <c r="F3" s="164"/>
      <c r="G3" s="163"/>
      <c r="T3" s="151"/>
    </row>
    <row r="4" spans="1:20" ht="15.75" x14ac:dyDescent="0.25">
      <c r="A4" s="480" t="s">
        <v>385</v>
      </c>
      <c r="B4" s="481"/>
      <c r="C4" s="481"/>
      <c r="D4" s="481"/>
      <c r="E4" s="481"/>
      <c r="F4" s="481"/>
      <c r="G4" s="481"/>
      <c r="H4" s="481"/>
      <c r="I4" s="481"/>
      <c r="J4" s="481"/>
      <c r="K4" s="481"/>
      <c r="L4" s="481"/>
      <c r="M4" s="481"/>
      <c r="N4" s="481"/>
      <c r="O4" s="481"/>
      <c r="P4" s="481"/>
      <c r="Q4" s="481"/>
      <c r="R4" s="481"/>
      <c r="S4" s="481"/>
      <c r="T4" s="482"/>
    </row>
    <row r="5" spans="1:20" ht="15" customHeight="1" x14ac:dyDescent="0.2">
      <c r="A5" s="465" t="s">
        <v>301</v>
      </c>
      <c r="B5" s="466"/>
      <c r="C5" s="466"/>
      <c r="D5" s="466"/>
      <c r="E5" s="466"/>
      <c r="F5" s="466"/>
      <c r="G5" s="466"/>
      <c r="H5" s="466"/>
      <c r="I5" s="466"/>
      <c r="J5" s="466"/>
      <c r="K5" s="466"/>
      <c r="L5" s="466"/>
      <c r="M5" s="466"/>
      <c r="N5" s="466"/>
      <c r="O5" s="466"/>
      <c r="P5" s="466"/>
      <c r="Q5" s="466"/>
      <c r="R5" s="466"/>
      <c r="S5" s="466"/>
      <c r="T5" s="467"/>
    </row>
    <row r="6" spans="1:20" x14ac:dyDescent="0.2">
      <c r="A6" s="465"/>
      <c r="B6" s="466"/>
      <c r="C6" s="466"/>
      <c r="D6" s="466"/>
      <c r="E6" s="466"/>
      <c r="F6" s="466"/>
      <c r="G6" s="466"/>
      <c r="H6" s="466"/>
      <c r="I6" s="466"/>
      <c r="J6" s="466"/>
      <c r="K6" s="466"/>
      <c r="L6" s="466"/>
      <c r="M6" s="466"/>
      <c r="N6" s="466"/>
      <c r="O6" s="466"/>
      <c r="P6" s="466"/>
      <c r="Q6" s="466"/>
      <c r="R6" s="466"/>
      <c r="S6" s="466"/>
      <c r="T6" s="467"/>
    </row>
    <row r="7" spans="1:20" ht="15" thickBot="1" x14ac:dyDescent="0.25">
      <c r="A7" s="150"/>
      <c r="T7" s="151"/>
    </row>
    <row r="8" spans="1:20" ht="32.25" customHeight="1" thickBot="1" x14ac:dyDescent="0.25">
      <c r="A8" s="489" t="s">
        <v>306</v>
      </c>
      <c r="B8" s="490"/>
      <c r="C8" s="490"/>
      <c r="D8" s="490"/>
      <c r="E8" s="490"/>
      <c r="F8" s="490"/>
      <c r="G8" s="490"/>
      <c r="H8" s="490"/>
      <c r="I8" s="490"/>
      <c r="J8" s="491"/>
      <c r="L8" s="462" t="s">
        <v>1066</v>
      </c>
      <c r="M8" s="463"/>
      <c r="N8" s="463"/>
      <c r="O8" s="463"/>
      <c r="P8" s="463"/>
      <c r="Q8" s="463"/>
      <c r="R8" s="463"/>
      <c r="S8" s="463"/>
      <c r="T8" s="464"/>
    </row>
    <row r="9" spans="1:20" ht="15" customHeight="1" x14ac:dyDescent="0.25">
      <c r="A9" s="438" t="s">
        <v>551</v>
      </c>
      <c r="B9" s="439"/>
      <c r="C9" s="439"/>
      <c r="D9" s="439"/>
      <c r="E9" s="439"/>
      <c r="F9" s="439"/>
      <c r="G9" s="439"/>
      <c r="H9" s="439"/>
      <c r="I9" s="439"/>
      <c r="J9" s="440"/>
      <c r="L9" s="150"/>
      <c r="Q9" s="416"/>
      <c r="R9" s="416"/>
      <c r="S9" s="416"/>
      <c r="T9" s="417"/>
    </row>
    <row r="10" spans="1:20" ht="15" customHeight="1" x14ac:dyDescent="0.2">
      <c r="A10" s="150"/>
      <c r="J10" s="151"/>
      <c r="L10" s="465" t="s">
        <v>1067</v>
      </c>
      <c r="M10" s="466"/>
      <c r="N10" s="466"/>
      <c r="O10" s="466"/>
      <c r="P10" s="466"/>
      <c r="Q10" s="466"/>
      <c r="R10" s="466"/>
      <c r="S10" s="466"/>
      <c r="T10" s="467"/>
    </row>
    <row r="11" spans="1:20" ht="15.75" customHeight="1" thickBot="1" x14ac:dyDescent="0.3">
      <c r="A11" s="468" t="s">
        <v>836</v>
      </c>
      <c r="B11" s="469"/>
      <c r="C11" s="469"/>
      <c r="D11" s="469"/>
      <c r="E11" s="469"/>
      <c r="F11" s="469"/>
      <c r="G11" s="469"/>
      <c r="H11" s="469"/>
      <c r="I11" s="469"/>
      <c r="J11" s="470"/>
      <c r="L11" s="465"/>
      <c r="M11" s="466"/>
      <c r="N11" s="466"/>
      <c r="O11" s="466"/>
      <c r="P11" s="466"/>
      <c r="Q11" s="466"/>
      <c r="R11" s="466"/>
      <c r="S11" s="466"/>
      <c r="T11" s="467"/>
    </row>
    <row r="12" spans="1:20" ht="30.75" customHeight="1" thickBot="1" x14ac:dyDescent="0.25">
      <c r="A12" s="150"/>
      <c r="C12" s="423" t="s">
        <v>1069</v>
      </c>
      <c r="D12" s="424"/>
      <c r="E12" s="424"/>
      <c r="F12" s="424"/>
      <c r="G12" s="424"/>
      <c r="H12" s="425"/>
      <c r="J12" s="151"/>
      <c r="L12" s="468" t="s">
        <v>1068</v>
      </c>
      <c r="M12" s="469"/>
      <c r="N12" s="469"/>
      <c r="O12" s="469"/>
      <c r="P12" s="469"/>
      <c r="Q12" s="469"/>
      <c r="R12" s="469"/>
      <c r="S12" s="469"/>
      <c r="T12" s="470"/>
    </row>
    <row r="13" spans="1:20" ht="15" thickBot="1" x14ac:dyDescent="0.25">
      <c r="A13" s="150"/>
      <c r="J13" s="151"/>
      <c r="L13" s="150"/>
      <c r="Q13" s="162"/>
      <c r="R13" s="162"/>
      <c r="S13" s="162"/>
      <c r="T13" s="415"/>
    </row>
    <row r="14" spans="1:20" ht="18.75" customHeight="1" x14ac:dyDescent="0.2">
      <c r="A14" s="468" t="s">
        <v>294</v>
      </c>
      <c r="B14" s="469"/>
      <c r="C14" s="469"/>
      <c r="D14" s="469"/>
      <c r="E14" s="469"/>
      <c r="F14" s="469"/>
      <c r="G14" s="469"/>
      <c r="H14" s="469"/>
      <c r="I14" s="469"/>
      <c r="J14" s="470"/>
      <c r="L14" s="471" t="s">
        <v>1088</v>
      </c>
      <c r="M14" s="472"/>
      <c r="N14" s="472"/>
      <c r="O14" s="472"/>
      <c r="P14" s="472"/>
      <c r="Q14" s="472"/>
      <c r="R14" s="472"/>
      <c r="S14" s="472"/>
      <c r="T14" s="473"/>
    </row>
    <row r="15" spans="1:20" ht="15.75" thickBot="1" x14ac:dyDescent="0.3">
      <c r="A15" s="468" t="s">
        <v>295</v>
      </c>
      <c r="B15" s="469"/>
      <c r="C15" s="469"/>
      <c r="D15" s="469"/>
      <c r="E15" s="469"/>
      <c r="F15" s="469"/>
      <c r="G15" s="469"/>
      <c r="H15" s="469"/>
      <c r="I15" s="469"/>
      <c r="J15" s="470"/>
      <c r="L15" s="474"/>
      <c r="M15" s="475"/>
      <c r="N15" s="475"/>
      <c r="O15" s="475"/>
      <c r="P15" s="475"/>
      <c r="Q15" s="475"/>
      <c r="R15" s="475"/>
      <c r="S15" s="475"/>
      <c r="T15" s="476"/>
    </row>
    <row r="16" spans="1:20" ht="30.75" customHeight="1" thickBot="1" x14ac:dyDescent="0.25">
      <c r="A16" s="152"/>
      <c r="B16" s="423" t="s">
        <v>302</v>
      </c>
      <c r="C16" s="424"/>
      <c r="D16" s="424"/>
      <c r="E16" s="424"/>
      <c r="F16" s="424"/>
      <c r="G16" s="424"/>
      <c r="H16" s="424"/>
      <c r="I16" s="425"/>
      <c r="J16" s="154"/>
      <c r="L16" s="152"/>
      <c r="M16" s="153"/>
      <c r="N16" s="153"/>
      <c r="O16" s="153"/>
      <c r="P16" s="153"/>
      <c r="Q16" s="153"/>
      <c r="R16" s="153"/>
      <c r="S16" s="153"/>
      <c r="T16" s="154"/>
    </row>
    <row r="17" spans="1:21" x14ac:dyDescent="0.2">
      <c r="A17" s="150"/>
      <c r="T17" s="151"/>
    </row>
    <row r="18" spans="1:21" ht="15" thickBot="1" x14ac:dyDescent="0.25">
      <c r="A18" s="150"/>
      <c r="T18" s="151"/>
    </row>
    <row r="19" spans="1:21" ht="32.25" customHeight="1" thickBot="1" x14ac:dyDescent="0.25">
      <c r="A19" s="441" t="s">
        <v>382</v>
      </c>
      <c r="B19" s="442"/>
      <c r="C19" s="442"/>
      <c r="D19" s="442"/>
      <c r="E19" s="442"/>
      <c r="F19" s="442"/>
      <c r="G19" s="442"/>
      <c r="H19" s="442"/>
      <c r="I19" s="442"/>
      <c r="J19" s="443"/>
      <c r="L19" s="435" t="s">
        <v>383</v>
      </c>
      <c r="M19" s="436"/>
      <c r="N19" s="436"/>
      <c r="O19" s="436"/>
      <c r="P19" s="436"/>
      <c r="Q19" s="436"/>
      <c r="R19" s="436"/>
      <c r="S19" s="436"/>
      <c r="T19" s="437"/>
    </row>
    <row r="20" spans="1:21" ht="15" x14ac:dyDescent="0.25">
      <c r="A20" s="438" t="s">
        <v>386</v>
      </c>
      <c r="B20" s="439"/>
      <c r="C20" s="439"/>
      <c r="D20" s="439"/>
      <c r="E20" s="439"/>
      <c r="F20" s="439"/>
      <c r="G20" s="439"/>
      <c r="H20" s="439"/>
      <c r="I20" s="439"/>
      <c r="J20" s="440"/>
      <c r="L20" s="438" t="s">
        <v>1072</v>
      </c>
      <c r="M20" s="439"/>
      <c r="N20" s="439"/>
      <c r="O20" s="439"/>
      <c r="P20" s="439"/>
      <c r="Q20" s="439"/>
      <c r="R20" s="439"/>
      <c r="S20" s="439"/>
      <c r="T20" s="440"/>
    </row>
    <row r="21" spans="1:21" ht="29.25" customHeight="1" x14ac:dyDescent="0.25">
      <c r="A21" s="447" t="s">
        <v>388</v>
      </c>
      <c r="B21" s="448"/>
      <c r="C21" s="448"/>
      <c r="D21" s="448"/>
      <c r="E21" s="448"/>
      <c r="F21" s="448"/>
      <c r="G21" s="448"/>
      <c r="H21" s="448"/>
      <c r="I21" s="448"/>
      <c r="J21" s="449"/>
      <c r="L21" s="426" t="s">
        <v>387</v>
      </c>
      <c r="M21" s="427"/>
      <c r="N21" s="427"/>
      <c r="O21" s="427"/>
      <c r="P21" s="427"/>
      <c r="Q21" s="427"/>
      <c r="R21" s="427"/>
      <c r="S21" s="427"/>
      <c r="T21" s="428"/>
    </row>
    <row r="22" spans="1:21" ht="15" customHeight="1" x14ac:dyDescent="0.2">
      <c r="A22" s="450"/>
      <c r="B22" s="451"/>
      <c r="C22" s="451"/>
      <c r="D22" s="451"/>
      <c r="E22" s="451"/>
      <c r="F22" s="451"/>
      <c r="G22" s="451"/>
      <c r="H22" s="451"/>
      <c r="I22" s="451"/>
      <c r="J22" s="452"/>
      <c r="L22" s="456" t="s">
        <v>1073</v>
      </c>
      <c r="M22" s="457"/>
      <c r="N22" s="457"/>
      <c r="O22" s="457"/>
      <c r="P22" s="457"/>
      <c r="Q22" s="457"/>
      <c r="R22" s="457"/>
      <c r="S22" s="457"/>
      <c r="T22" s="458"/>
    </row>
    <row r="23" spans="1:21" s="155" customFormat="1" ht="21.75" customHeight="1" x14ac:dyDescent="0.2">
      <c r="A23" s="444" t="s">
        <v>298</v>
      </c>
      <c r="B23" s="445"/>
      <c r="C23" s="445"/>
      <c r="D23" s="445"/>
      <c r="E23" s="445"/>
      <c r="F23" s="445"/>
      <c r="G23" s="445"/>
      <c r="H23" s="445"/>
      <c r="I23" s="445"/>
      <c r="J23" s="446"/>
      <c r="L23" s="450"/>
      <c r="M23" s="451"/>
      <c r="N23" s="451"/>
      <c r="O23" s="451"/>
      <c r="P23" s="451"/>
      <c r="Q23" s="451"/>
      <c r="R23" s="451"/>
      <c r="S23" s="451"/>
      <c r="T23" s="452"/>
    </row>
    <row r="24" spans="1:21" ht="28.5" customHeight="1" x14ac:dyDescent="0.2">
      <c r="A24" s="426" t="s">
        <v>296</v>
      </c>
      <c r="B24" s="427"/>
      <c r="C24" s="427"/>
      <c r="D24" s="427"/>
      <c r="E24" s="427"/>
      <c r="F24" s="427"/>
      <c r="G24" s="427"/>
      <c r="H24" s="427"/>
      <c r="I24" s="427"/>
      <c r="J24" s="428"/>
      <c r="L24" s="456" t="s">
        <v>296</v>
      </c>
      <c r="M24" s="457"/>
      <c r="N24" s="457"/>
      <c r="O24" s="457"/>
      <c r="P24" s="457"/>
      <c r="Q24" s="457"/>
      <c r="R24" s="457"/>
      <c r="S24" s="457"/>
      <c r="T24" s="458"/>
      <c r="U24" s="155"/>
    </row>
    <row r="25" spans="1:21" ht="15.75" customHeight="1" thickBot="1" x14ac:dyDescent="0.25">
      <c r="A25" s="150"/>
      <c r="J25" s="151"/>
      <c r="L25" s="156"/>
      <c r="M25" s="157"/>
      <c r="N25" s="157"/>
      <c r="O25" s="157"/>
      <c r="P25" s="157"/>
      <c r="Q25" s="157"/>
      <c r="R25" s="157"/>
      <c r="S25" s="157"/>
      <c r="T25" s="158"/>
      <c r="U25" s="159"/>
    </row>
    <row r="26" spans="1:21" s="155" customFormat="1" ht="30.75" customHeight="1" thickBot="1" x14ac:dyDescent="0.25">
      <c r="A26" s="160"/>
      <c r="C26" s="429" t="s">
        <v>1071</v>
      </c>
      <c r="D26" s="430"/>
      <c r="E26" s="430"/>
      <c r="F26" s="430"/>
      <c r="G26" s="430"/>
      <c r="H26" s="431"/>
      <c r="J26" s="161"/>
      <c r="L26" s="160"/>
      <c r="N26" s="459" t="s">
        <v>303</v>
      </c>
      <c r="O26" s="460"/>
      <c r="P26" s="460"/>
      <c r="Q26" s="460"/>
      <c r="R26" s="461"/>
      <c r="T26" s="161"/>
    </row>
    <row r="27" spans="1:21" x14ac:dyDescent="0.2">
      <c r="A27" s="150"/>
      <c r="J27" s="151"/>
      <c r="L27" s="150"/>
      <c r="T27" s="151"/>
    </row>
    <row r="28" spans="1:21" ht="29.25" customHeight="1" x14ac:dyDescent="0.2">
      <c r="A28" s="426" t="s">
        <v>389</v>
      </c>
      <c r="B28" s="427"/>
      <c r="C28" s="427"/>
      <c r="D28" s="427"/>
      <c r="E28" s="427"/>
      <c r="F28" s="427"/>
      <c r="G28" s="427"/>
      <c r="H28" s="427"/>
      <c r="I28" s="427"/>
      <c r="J28" s="428"/>
      <c r="L28" s="426" t="s">
        <v>300</v>
      </c>
      <c r="M28" s="427"/>
      <c r="N28" s="427"/>
      <c r="O28" s="427"/>
      <c r="P28" s="427"/>
      <c r="Q28" s="427"/>
      <c r="R28" s="427"/>
      <c r="S28" s="427"/>
      <c r="T28" s="428"/>
      <c r="U28" s="162"/>
    </row>
    <row r="29" spans="1:21" ht="15" thickBot="1" x14ac:dyDescent="0.25">
      <c r="A29" s="150"/>
      <c r="J29" s="151"/>
      <c r="L29" s="150"/>
      <c r="T29" s="151"/>
    </row>
    <row r="30" spans="1:21" ht="30.75" customHeight="1" thickBot="1" x14ac:dyDescent="0.25">
      <c r="A30" s="152"/>
      <c r="B30" s="153"/>
      <c r="C30" s="432" t="s">
        <v>299</v>
      </c>
      <c r="D30" s="433"/>
      <c r="E30" s="433"/>
      <c r="F30" s="433"/>
      <c r="G30" s="433"/>
      <c r="H30" s="434"/>
      <c r="I30" s="153"/>
      <c r="J30" s="154"/>
      <c r="K30" s="153"/>
      <c r="L30" s="152"/>
      <c r="M30" s="153"/>
      <c r="N30" s="453" t="s">
        <v>304</v>
      </c>
      <c r="O30" s="454"/>
      <c r="P30" s="454"/>
      <c r="Q30" s="454"/>
      <c r="R30" s="455"/>
      <c r="S30" s="153"/>
      <c r="T30" s="154"/>
    </row>
  </sheetData>
  <sheetProtection algorithmName="SHA-512" hashValue="qTNs+Wyvr9lf5uCIo9JOctfIypdp+b5wIdkatnUHqdeKZN94Rk8SxxfU2yw8eKF/ukFQXVV16xvQ9Ioeatk4Dw==" saltValue="nzR4XmBXDQ3/0btETYuuHg==" spinCount="100000" sheet="1" objects="1" scenarios="1"/>
  <mergeCells count="33">
    <mergeCell ref="L8:T8"/>
    <mergeCell ref="L10:T11"/>
    <mergeCell ref="L12:T12"/>
    <mergeCell ref="L14:T15"/>
    <mergeCell ref="A1:T1"/>
    <mergeCell ref="A4:T4"/>
    <mergeCell ref="A5:T6"/>
    <mergeCell ref="E2:G2"/>
    <mergeCell ref="H2:J2"/>
    <mergeCell ref="B2:C2"/>
    <mergeCell ref="A15:J15"/>
    <mergeCell ref="A8:J8"/>
    <mergeCell ref="A9:J9"/>
    <mergeCell ref="A11:J11"/>
    <mergeCell ref="A14:J14"/>
    <mergeCell ref="C12:H12"/>
    <mergeCell ref="N30:R30"/>
    <mergeCell ref="L22:T23"/>
    <mergeCell ref="L21:T21"/>
    <mergeCell ref="L24:T24"/>
    <mergeCell ref="N26:R26"/>
    <mergeCell ref="L19:T19"/>
    <mergeCell ref="L20:T20"/>
    <mergeCell ref="A19:J19"/>
    <mergeCell ref="A20:J20"/>
    <mergeCell ref="L28:T28"/>
    <mergeCell ref="A23:J23"/>
    <mergeCell ref="A21:J22"/>
    <mergeCell ref="B16:I16"/>
    <mergeCell ref="A24:J24"/>
    <mergeCell ref="C26:H26"/>
    <mergeCell ref="A28:J28"/>
    <mergeCell ref="C30:H30"/>
  </mergeCells>
  <hyperlinks>
    <hyperlink ref="C30:H30" location="'Zusammenfassung int. Prod.'!A1" display="► HIER gelangen Sie zur Zusammenfassung" xr:uid="{00000000-0004-0000-0000-000000000000}"/>
    <hyperlink ref="B16:H16" location="Anbauzeitpunkte!A1" display="Durch einen KLICK auf diesen Link ► gelangen Sie zu den Anbauzeitpunkten" xr:uid="{00000000-0004-0000-0000-000001000000}"/>
    <hyperlink ref="N30:R30" location="'Zusammenfassung BIO'!A1" display="► HIER gelangen Sie zur Zusammenfassung BIO" xr:uid="{00000000-0004-0000-0000-000002000000}"/>
    <hyperlink ref="C26:H26" location="'Begr.-Rechner int. Prod.'!A1" display="► HIER gelangen Sie gelangen Sie zum Begrünungsrechner" xr:uid="{00000000-0004-0000-0000-000003000000}"/>
    <hyperlink ref="N26:R26" location="'Begr.-Rechner BIO'!A1" display="► Hier gelangen Sie zum Begrünungsrechner BIO" xr:uid="{00000000-0004-0000-0000-000004000000}"/>
    <hyperlink ref="B2" r:id="rId1" xr:uid="{00000000-0004-0000-0000-000005000000}"/>
    <hyperlink ref="H2" r:id="rId2" xr:uid="{00000000-0004-0000-0000-000006000000}"/>
    <hyperlink ref="L14:T15" location="'Mischungen verfeinern'!Druckbereich" display="Durch einen Klick auf diesen Link ► gelangen Sie zum Tabellenblatt &quot;Mischungen verfeinern&quot;" xr:uid="{2D36EC04-A068-4D5F-A63A-588F9A4DCDB1}"/>
    <hyperlink ref="C12:H12" location="'Begrünungsliste 2025'!A1" display="Durch einen KLICK auf diesen Link ► gelangen Sie zur Begrünungsliste" xr:uid="{C734F7FB-EF1D-415C-91B9-D881ECD2D5AA}"/>
  </hyperlinks>
  <pageMargins left="0.7" right="0.7" top="0.78740157499999996" bottom="0.78740157499999996"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N220"/>
  <sheetViews>
    <sheetView showGridLines="0" showZeros="0" zoomScale="85" zoomScaleNormal="85" zoomScaleSheetLayoutView="100" workbookViewId="0">
      <pane xSplit="1" topLeftCell="B1" activePane="topRight" state="frozen"/>
      <selection pane="topRight"/>
    </sheetView>
  </sheetViews>
  <sheetFormatPr baseColWidth="10" defaultRowHeight="15" x14ac:dyDescent="0.25"/>
  <cols>
    <col min="1" max="1" width="45.125" customWidth="1"/>
    <col min="2" max="2" width="27.875" style="35" customWidth="1"/>
    <col min="3" max="3" width="20.875" customWidth="1"/>
    <col min="4" max="4" width="20.125" customWidth="1"/>
    <col min="5" max="5" width="14.625" customWidth="1"/>
    <col min="7" max="7" width="14.25" customWidth="1"/>
    <col min="9" max="9" width="22.375" customWidth="1"/>
    <col min="10" max="10" width="11.5" customWidth="1"/>
    <col min="11" max="11" width="11.75" customWidth="1"/>
    <col min="12" max="12" width="17.375" customWidth="1"/>
    <col min="13" max="13" width="16.25" customWidth="1"/>
    <col min="14" max="14" width="20.5" customWidth="1"/>
  </cols>
  <sheetData>
    <row r="1" spans="1:14" ht="143.25" customHeight="1" thickBot="1" x14ac:dyDescent="0.25">
      <c r="A1" s="54" t="s">
        <v>552</v>
      </c>
      <c r="B1" s="1" t="s">
        <v>554</v>
      </c>
      <c r="C1" s="2" t="s">
        <v>1079</v>
      </c>
      <c r="D1" s="3"/>
      <c r="E1" s="582" t="s">
        <v>0</v>
      </c>
      <c r="F1" s="511"/>
      <c r="G1" s="511"/>
      <c r="H1" s="511"/>
      <c r="I1" s="211" t="str">
        <f>IF(OR($I$2="",$I$2=0),"bitte geben Sie HIER die
Begrünungsfläche  in ha an","Fläche in ha")</f>
        <v>bitte geben Sie HIER die
Begrünungsfläche  in ha an</v>
      </c>
      <c r="J1" s="4" t="s">
        <v>284</v>
      </c>
      <c r="K1" s="4" t="s">
        <v>458</v>
      </c>
      <c r="L1" s="5" t="s">
        <v>285</v>
      </c>
      <c r="M1" s="586" t="s">
        <v>297</v>
      </c>
      <c r="N1" s="587"/>
    </row>
    <row r="2" spans="1:14" ht="46.5" customHeight="1" thickTop="1" thickBot="1" x14ac:dyDescent="0.25">
      <c r="A2" s="330" t="s">
        <v>840</v>
      </c>
      <c r="B2" s="311" t="s">
        <v>2</v>
      </c>
      <c r="C2" s="304" t="s">
        <v>835</v>
      </c>
      <c r="D2" s="305" t="s">
        <v>4</v>
      </c>
      <c r="E2" s="309" t="s">
        <v>5</v>
      </c>
      <c r="F2" s="306" t="s">
        <v>1</v>
      </c>
      <c r="G2" s="303" t="s">
        <v>288</v>
      </c>
      <c r="H2" s="307" t="s">
        <v>6</v>
      </c>
      <c r="I2" s="334"/>
      <c r="J2" s="347">
        <f>ROUND(SUM(E4:E58),2)</f>
        <v>0</v>
      </c>
      <c r="K2" s="260">
        <f>ROUND(SUM(F4:F58),1)</f>
        <v>0</v>
      </c>
      <c r="L2" s="274">
        <f>SUM(G4:G58)</f>
        <v>0</v>
      </c>
      <c r="M2" s="588"/>
      <c r="N2" s="589"/>
    </row>
    <row r="3" spans="1:14" ht="46.5" customHeight="1" thickBot="1" x14ac:dyDescent="0.25">
      <c r="A3" s="312" t="s">
        <v>7</v>
      </c>
      <c r="B3" s="186"/>
      <c r="C3" s="186"/>
      <c r="D3" s="186"/>
      <c r="E3" s="190" t="s">
        <v>375</v>
      </c>
      <c r="F3" s="186"/>
      <c r="G3" s="186"/>
      <c r="H3" s="187"/>
      <c r="I3" s="179" t="s">
        <v>312</v>
      </c>
      <c r="J3" s="516" t="s">
        <v>466</v>
      </c>
      <c r="K3" s="517"/>
      <c r="L3" s="343" t="str">
        <f>IF('Zusammenfassung BIO'!$H$4=0,"0 %",'Zusammenfassung BIO'!H4)</f>
        <v/>
      </c>
      <c r="M3" s="530" t="str">
        <f>IF(AND(L3&gt;0.6,L3&lt;&gt;"0 %",J2&gt;0),"ACHTUNG Vorfruchtwirkung beachten: 
ungenutzte ZWF &gt; 60 % Leg.: 20 kg N
genutzte ZWF &gt; 60% Leg.: 10 kg N","")</f>
        <v/>
      </c>
      <c r="N3" s="531"/>
    </row>
    <row r="4" spans="1:14" ht="21.75" customHeight="1" thickBot="1" x14ac:dyDescent="0.25">
      <c r="A4" s="182" t="s">
        <v>816</v>
      </c>
      <c r="B4" s="51">
        <v>4.54</v>
      </c>
      <c r="C4" s="52">
        <v>15</v>
      </c>
      <c r="D4" s="50">
        <f t="shared" ref="D4:D8" si="0">IF(ISERROR(C4*B4),0,C4*B4)</f>
        <v>68.099999999999994</v>
      </c>
      <c r="E4" s="69"/>
      <c r="F4" s="335">
        <f t="shared" ref="F4:F9" si="1">IF(ISERROR(E4*B4),0,(E4*B4))</f>
        <v>0</v>
      </c>
      <c r="G4" s="65">
        <f t="shared" ref="G4:G9" si="2">IF(ISERROR(E4/C4),0,(E4/C4))</f>
        <v>0</v>
      </c>
      <c r="H4" s="336">
        <f>IF(ISERROR(ROUND($I$2*E4,1)),0,ROUND($I$2*E4,1))</f>
        <v>0</v>
      </c>
      <c r="I4" s="333" t="s">
        <v>120</v>
      </c>
      <c r="J4" s="518" t="s">
        <v>546</v>
      </c>
      <c r="K4" s="519"/>
      <c r="L4" s="520"/>
    </row>
    <row r="5" spans="1:14" ht="21.75" customHeight="1" thickBot="1" x14ac:dyDescent="0.25">
      <c r="A5" s="182" t="s">
        <v>9</v>
      </c>
      <c r="B5" s="51">
        <v>5.3949999999999996</v>
      </c>
      <c r="C5" s="52">
        <v>25</v>
      </c>
      <c r="D5" s="50">
        <f t="shared" si="0"/>
        <v>134.875</v>
      </c>
      <c r="E5" s="64"/>
      <c r="F5" s="335">
        <f t="shared" si="1"/>
        <v>0</v>
      </c>
      <c r="G5" s="65">
        <f t="shared" si="2"/>
        <v>0</v>
      </c>
      <c r="H5" s="336">
        <f t="shared" ref="H5:H24" si="3">IF(ISERROR(ROUND($I$2*E5,1)),0,ROUND($I$2*E5,1))</f>
        <v>0</v>
      </c>
      <c r="I5" s="333" t="s">
        <v>317</v>
      </c>
      <c r="J5" s="583"/>
      <c r="K5" s="584"/>
      <c r="L5" s="585"/>
    </row>
    <row r="6" spans="1:14" ht="21.75" customHeight="1" thickBot="1" x14ac:dyDescent="0.25">
      <c r="A6" s="182" t="s">
        <v>827</v>
      </c>
      <c r="B6" s="51">
        <v>3.64</v>
      </c>
      <c r="C6" s="52">
        <v>25</v>
      </c>
      <c r="D6" s="50">
        <f t="shared" si="0"/>
        <v>91</v>
      </c>
      <c r="E6" s="64"/>
      <c r="F6" s="335">
        <f t="shared" si="1"/>
        <v>0</v>
      </c>
      <c r="G6" s="65">
        <f t="shared" si="2"/>
        <v>0</v>
      </c>
      <c r="H6" s="336">
        <f t="shared" si="3"/>
        <v>0</v>
      </c>
      <c r="I6" s="333" t="s">
        <v>162</v>
      </c>
      <c r="J6" s="494" t="str">
        <f>IF(L6="","Wirtschaftsdüngerart auswählen ►","genutzte Wirtschaftsdüngerart:")</f>
        <v>Wirtschaftsdüngerart auswählen ►</v>
      </c>
      <c r="K6" s="495"/>
      <c r="L6" s="498"/>
    </row>
    <row r="7" spans="1:14" ht="21.75" customHeight="1" thickBot="1" x14ac:dyDescent="0.25">
      <c r="A7" s="182" t="s">
        <v>821</v>
      </c>
      <c r="B7" s="51">
        <v>1.45</v>
      </c>
      <c r="C7" s="52">
        <v>160</v>
      </c>
      <c r="D7" s="50">
        <f t="shared" si="0"/>
        <v>232</v>
      </c>
      <c r="E7" s="64"/>
      <c r="F7" s="335">
        <f t="shared" si="1"/>
        <v>0</v>
      </c>
      <c r="G7" s="65">
        <f t="shared" si="2"/>
        <v>0</v>
      </c>
      <c r="H7" s="336">
        <f t="shared" si="3"/>
        <v>0</v>
      </c>
      <c r="I7" s="333" t="s">
        <v>317</v>
      </c>
      <c r="J7" s="496"/>
      <c r="K7" s="497"/>
      <c r="L7" s="499"/>
    </row>
    <row r="8" spans="1:14" ht="21.75" customHeight="1" thickBot="1" x14ac:dyDescent="0.25">
      <c r="A8" s="182" t="s">
        <v>829</v>
      </c>
      <c r="B8" s="51">
        <v>2.5099999999999998</v>
      </c>
      <c r="C8" s="52">
        <v>60</v>
      </c>
      <c r="D8" s="50">
        <f t="shared" si="0"/>
        <v>150.6</v>
      </c>
      <c r="E8" s="64"/>
      <c r="F8" s="335">
        <f t="shared" si="1"/>
        <v>0</v>
      </c>
      <c r="G8" s="65">
        <f t="shared" si="2"/>
        <v>0</v>
      </c>
      <c r="H8" s="336">
        <f t="shared" si="3"/>
        <v>0</v>
      </c>
      <c r="I8" s="333" t="s">
        <v>318</v>
      </c>
      <c r="J8" s="597" t="s">
        <v>1074</v>
      </c>
      <c r="K8" s="598"/>
      <c r="L8" s="599" t="str">
        <f>IF(L6="",CONCATENATE('BIO (2)'!T13," kg N ab Lager"),CONCATENATE('BIO (2)'!T13," kg N ab Lager (",'BIO (2)'!U13," kg N jw)",""))</f>
        <v>60 kg N ab Lager</v>
      </c>
    </row>
    <row r="9" spans="1:14" ht="21.75" customHeight="1" thickBot="1" x14ac:dyDescent="0.25">
      <c r="A9" s="182" t="s">
        <v>828</v>
      </c>
      <c r="B9" s="51">
        <v>2.68</v>
      </c>
      <c r="C9" s="52">
        <v>60</v>
      </c>
      <c r="D9" s="50">
        <f t="shared" ref="D9:D26" si="4">IF(ISERROR(C9*B9),0,C9*B9)</f>
        <v>160.80000000000001</v>
      </c>
      <c r="E9" s="64"/>
      <c r="F9" s="335">
        <f t="shared" si="1"/>
        <v>0</v>
      </c>
      <c r="G9" s="65">
        <f t="shared" si="2"/>
        <v>0</v>
      </c>
      <c r="H9" s="336">
        <f t="shared" si="3"/>
        <v>0</v>
      </c>
      <c r="I9" s="333" t="s">
        <v>318</v>
      </c>
      <c r="J9" s="502"/>
      <c r="K9" s="503"/>
      <c r="L9" s="600"/>
    </row>
    <row r="10" spans="1:14" ht="21.75" customHeight="1" thickBot="1" x14ac:dyDescent="0.25">
      <c r="A10" s="182" t="s">
        <v>92</v>
      </c>
      <c r="B10" s="51">
        <v>3.74</v>
      </c>
      <c r="C10" s="52">
        <v>40</v>
      </c>
      <c r="D10" s="50">
        <f t="shared" si="4"/>
        <v>149.60000000000002</v>
      </c>
      <c r="E10" s="64"/>
      <c r="F10" s="335">
        <f t="shared" ref="F10:F11" si="5">IF(ISERROR(E10*B10),0,(E10*B10))</f>
        <v>0</v>
      </c>
      <c r="G10" s="65">
        <f t="shared" ref="G10:G11" si="6">IF(ISERROR(E10/C10),0,(E10/C10))</f>
        <v>0</v>
      </c>
      <c r="H10" s="336">
        <f t="shared" si="3"/>
        <v>0</v>
      </c>
      <c r="I10" s="333" t="s">
        <v>162</v>
      </c>
      <c r="J10" s="506" t="s">
        <v>1076</v>
      </c>
      <c r="K10" s="507"/>
      <c r="L10" s="504" t="str">
        <f>IF(L6="",CONCATENATE('BIO (2)'!T12," kg N ab Lager"),CONCATENATE('BIO (2)'!T12," kg N ab Lager (",'BIO (2)'!U12," kg N jw)",""))</f>
        <v>60 kg N ab Lager</v>
      </c>
    </row>
    <row r="11" spans="1:14" ht="21.75" customHeight="1" thickBot="1" x14ac:dyDescent="0.25">
      <c r="A11" s="182" t="s">
        <v>12</v>
      </c>
      <c r="B11" s="51">
        <v>8</v>
      </c>
      <c r="C11" s="52">
        <v>30</v>
      </c>
      <c r="D11" s="50">
        <f t="shared" si="4"/>
        <v>240</v>
      </c>
      <c r="E11" s="64"/>
      <c r="F11" s="335">
        <f t="shared" si="5"/>
        <v>0</v>
      </c>
      <c r="G11" s="65">
        <f t="shared" si="6"/>
        <v>0</v>
      </c>
      <c r="H11" s="336">
        <f t="shared" si="3"/>
        <v>0</v>
      </c>
      <c r="I11" s="333" t="s">
        <v>162</v>
      </c>
      <c r="J11" s="592"/>
      <c r="K11" s="593"/>
      <c r="L11" s="594"/>
    </row>
    <row r="12" spans="1:14" ht="21.75" customHeight="1" thickBot="1" x14ac:dyDescent="0.25">
      <c r="A12" s="182" t="s">
        <v>470</v>
      </c>
      <c r="B12" s="51">
        <v>6.58</v>
      </c>
      <c r="C12" s="52">
        <v>180</v>
      </c>
      <c r="D12" s="50">
        <f t="shared" si="4"/>
        <v>1184.4000000000001</v>
      </c>
      <c r="E12" s="64"/>
      <c r="F12" s="335">
        <f t="shared" ref="F12" si="7">IF(ISERROR(E12*B12),0,(E12*B12))</f>
        <v>0</v>
      </c>
      <c r="G12" s="65">
        <f t="shared" ref="G12" si="8">IF(ISERROR(E12/C12),0,(E12/C12))</f>
        <v>0</v>
      </c>
      <c r="H12" s="336">
        <f t="shared" si="3"/>
        <v>0</v>
      </c>
      <c r="I12" s="333" t="s">
        <v>317</v>
      </c>
      <c r="J12" s="494" t="str">
        <f>IFERROR(IF('BIO (2)'!T7="langsam","",IF(OR('BIO (2)'!T7="leicht",L6=""),"Herbstdüngegrenze von 60 kg N ab Lager ab der Ernte der letzten Hauptkultur beachten","")),"Herbstdüngegrenze von 60 kg N ab Lager ab der Ernte der letzten Hauptkultur beachten")</f>
        <v>Herbstdüngegrenze von 60 kg N ab Lager ab der Ernte der letzten Hauptkultur beachten</v>
      </c>
      <c r="K12" s="595"/>
      <c r="L12" s="495"/>
    </row>
    <row r="13" spans="1:14" ht="21.75" customHeight="1" thickBot="1" x14ac:dyDescent="0.25">
      <c r="A13" s="182" t="s">
        <v>313</v>
      </c>
      <c r="B13" s="51">
        <v>1.49</v>
      </c>
      <c r="C13" s="52">
        <v>160</v>
      </c>
      <c r="D13" s="50">
        <f t="shared" si="4"/>
        <v>238.4</v>
      </c>
      <c r="E13" s="64"/>
      <c r="F13" s="335">
        <f t="shared" ref="F13:F24" si="9">IF(ISERROR(E13*B13),0,(E13*B13))</f>
        <v>0</v>
      </c>
      <c r="G13" s="65">
        <f t="shared" ref="G13:G24" si="10">IF(ISERROR(E13/C13),0,(E13/C13))</f>
        <v>0</v>
      </c>
      <c r="H13" s="336">
        <f t="shared" si="3"/>
        <v>0</v>
      </c>
      <c r="I13" s="333" t="s">
        <v>317</v>
      </c>
      <c r="J13" s="496"/>
      <c r="K13" s="596"/>
      <c r="L13" s="497"/>
    </row>
    <row r="14" spans="1:14" ht="21.75" customHeight="1" thickBot="1" x14ac:dyDescent="0.25">
      <c r="A14" s="182" t="s">
        <v>819</v>
      </c>
      <c r="B14" s="51">
        <v>8.5250000000000004</v>
      </c>
      <c r="C14" s="52">
        <v>30</v>
      </c>
      <c r="D14" s="50">
        <f t="shared" si="4"/>
        <v>255.75</v>
      </c>
      <c r="E14" s="64"/>
      <c r="F14" s="335">
        <f t="shared" si="9"/>
        <v>0</v>
      </c>
      <c r="G14" s="65">
        <f t="shared" si="10"/>
        <v>0</v>
      </c>
      <c r="H14" s="336">
        <f t="shared" si="3"/>
        <v>0</v>
      </c>
      <c r="I14" s="333" t="s">
        <v>317</v>
      </c>
      <c r="J14" s="601" t="s">
        <v>855</v>
      </c>
      <c r="K14" s="602"/>
      <c r="L14" s="603"/>
    </row>
    <row r="15" spans="1:14" ht="21.75" customHeight="1" thickBot="1" x14ac:dyDescent="0.25">
      <c r="A15" s="182" t="s">
        <v>830</v>
      </c>
      <c r="B15" s="51">
        <v>4.25</v>
      </c>
      <c r="C15" s="52">
        <v>15</v>
      </c>
      <c r="D15" s="50">
        <f t="shared" si="4"/>
        <v>63.75</v>
      </c>
      <c r="E15" s="64"/>
      <c r="F15" s="335">
        <f t="shared" si="9"/>
        <v>0</v>
      </c>
      <c r="G15" s="65">
        <f t="shared" si="10"/>
        <v>0</v>
      </c>
      <c r="H15" s="336">
        <f t="shared" si="3"/>
        <v>0</v>
      </c>
      <c r="I15" s="333" t="s">
        <v>162</v>
      </c>
      <c r="J15" s="465"/>
      <c r="K15" s="466"/>
      <c r="L15" s="467"/>
    </row>
    <row r="16" spans="1:14" ht="21.75" customHeight="1" thickBot="1" x14ac:dyDescent="0.25">
      <c r="A16" s="182" t="s">
        <v>820</v>
      </c>
      <c r="B16" s="51">
        <v>17.11</v>
      </c>
      <c r="C16" s="52">
        <v>20</v>
      </c>
      <c r="D16" s="50">
        <f t="shared" si="4"/>
        <v>342.2</v>
      </c>
      <c r="E16" s="64"/>
      <c r="F16" s="335">
        <f t="shared" si="9"/>
        <v>0</v>
      </c>
      <c r="G16" s="65">
        <f t="shared" si="10"/>
        <v>0</v>
      </c>
      <c r="H16" s="336">
        <f t="shared" si="3"/>
        <v>0</v>
      </c>
      <c r="I16" s="333" t="s">
        <v>317</v>
      </c>
      <c r="J16" s="465"/>
      <c r="K16" s="466"/>
      <c r="L16" s="467"/>
    </row>
    <row r="17" spans="1:12" ht="21.75" customHeight="1" thickBot="1" x14ac:dyDescent="0.25">
      <c r="A17" s="182" t="s">
        <v>17</v>
      </c>
      <c r="B17" s="51">
        <v>4.99</v>
      </c>
      <c r="C17" s="52">
        <v>30</v>
      </c>
      <c r="D17" s="50">
        <f t="shared" si="4"/>
        <v>149.70000000000002</v>
      </c>
      <c r="E17" s="64"/>
      <c r="F17" s="335">
        <f t="shared" si="9"/>
        <v>0</v>
      </c>
      <c r="G17" s="65">
        <f t="shared" si="10"/>
        <v>0</v>
      </c>
      <c r="H17" s="336">
        <f t="shared" si="3"/>
        <v>0</v>
      </c>
      <c r="I17" s="333" t="s">
        <v>317</v>
      </c>
      <c r="J17" s="465"/>
      <c r="K17" s="466"/>
      <c r="L17" s="467"/>
    </row>
    <row r="18" spans="1:12" ht="21.75" customHeight="1" thickBot="1" x14ac:dyDescent="0.25">
      <c r="A18" s="182" t="s">
        <v>398</v>
      </c>
      <c r="B18" s="51">
        <v>3.21</v>
      </c>
      <c r="C18" s="52">
        <v>40</v>
      </c>
      <c r="D18" s="50">
        <f t="shared" si="4"/>
        <v>128.4</v>
      </c>
      <c r="E18" s="64"/>
      <c r="F18" s="335">
        <f t="shared" si="9"/>
        <v>0</v>
      </c>
      <c r="G18" s="65">
        <f t="shared" si="10"/>
        <v>0</v>
      </c>
      <c r="H18" s="336">
        <f t="shared" si="3"/>
        <v>0</v>
      </c>
      <c r="I18" s="333" t="s">
        <v>162</v>
      </c>
      <c r="J18" s="604" t="s">
        <v>839</v>
      </c>
      <c r="K18" s="466"/>
      <c r="L18" s="467"/>
    </row>
    <row r="19" spans="1:12" ht="21.75" customHeight="1" thickBot="1" x14ac:dyDescent="0.25">
      <c r="A19" s="182" t="s">
        <v>18</v>
      </c>
      <c r="B19" s="51">
        <v>11.61</v>
      </c>
      <c r="C19" s="52">
        <v>10</v>
      </c>
      <c r="D19" s="50">
        <f t="shared" si="4"/>
        <v>116.1</v>
      </c>
      <c r="E19" s="64"/>
      <c r="F19" s="335">
        <f t="shared" si="9"/>
        <v>0</v>
      </c>
      <c r="G19" s="65">
        <f t="shared" si="10"/>
        <v>0</v>
      </c>
      <c r="H19" s="336">
        <f t="shared" si="3"/>
        <v>0</v>
      </c>
      <c r="I19" s="333" t="s">
        <v>120</v>
      </c>
      <c r="J19" s="605"/>
      <c r="K19" s="606"/>
      <c r="L19" s="607"/>
    </row>
    <row r="20" spans="1:12" ht="21.75" customHeight="1" thickBot="1" x14ac:dyDescent="0.25">
      <c r="A20" s="182" t="s">
        <v>810</v>
      </c>
      <c r="B20" s="51">
        <v>11.61</v>
      </c>
      <c r="C20" s="52">
        <v>10</v>
      </c>
      <c r="D20" s="50">
        <f t="shared" si="4"/>
        <v>116.1</v>
      </c>
      <c r="E20" s="64"/>
      <c r="F20" s="335">
        <f t="shared" si="9"/>
        <v>0</v>
      </c>
      <c r="G20" s="65">
        <f t="shared" si="10"/>
        <v>0</v>
      </c>
      <c r="H20" s="336">
        <f t="shared" si="3"/>
        <v>0</v>
      </c>
      <c r="I20" s="333" t="s">
        <v>120</v>
      </c>
    </row>
    <row r="21" spans="1:12" ht="21.75" customHeight="1" thickBot="1" x14ac:dyDescent="0.25">
      <c r="A21" s="182" t="s">
        <v>822</v>
      </c>
      <c r="B21" s="51">
        <v>12.05</v>
      </c>
      <c r="C21" s="52">
        <v>12</v>
      </c>
      <c r="D21" s="50">
        <f t="shared" si="4"/>
        <v>144.60000000000002</v>
      </c>
      <c r="E21" s="64"/>
      <c r="F21" s="335">
        <f t="shared" si="9"/>
        <v>0</v>
      </c>
      <c r="G21" s="65">
        <f t="shared" si="10"/>
        <v>0</v>
      </c>
      <c r="H21" s="336">
        <f t="shared" si="3"/>
        <v>0</v>
      </c>
      <c r="I21" s="333" t="s">
        <v>321</v>
      </c>
    </row>
    <row r="22" spans="1:12" ht="21.75" customHeight="1" thickBot="1" x14ac:dyDescent="0.25">
      <c r="A22" s="182" t="s">
        <v>20</v>
      </c>
      <c r="B22" s="51">
        <v>8.74</v>
      </c>
      <c r="C22" s="52">
        <v>10</v>
      </c>
      <c r="D22" s="50">
        <f t="shared" si="4"/>
        <v>87.4</v>
      </c>
      <c r="E22" s="64"/>
      <c r="F22" s="335">
        <f t="shared" si="9"/>
        <v>0</v>
      </c>
      <c r="G22" s="65">
        <f t="shared" si="10"/>
        <v>0</v>
      </c>
      <c r="H22" s="336">
        <f t="shared" si="3"/>
        <v>0</v>
      </c>
      <c r="I22" s="333" t="s">
        <v>120</v>
      </c>
    </row>
    <row r="23" spans="1:12" ht="21.75" customHeight="1" thickBot="1" x14ac:dyDescent="0.25">
      <c r="A23" s="182" t="s">
        <v>475</v>
      </c>
      <c r="B23" s="51">
        <v>4.91</v>
      </c>
      <c r="C23" s="52">
        <v>80</v>
      </c>
      <c r="D23" s="50">
        <f t="shared" si="4"/>
        <v>392.8</v>
      </c>
      <c r="E23" s="64"/>
      <c r="F23" s="335">
        <f t="shared" si="9"/>
        <v>0</v>
      </c>
      <c r="G23" s="65">
        <f t="shared" si="10"/>
        <v>0</v>
      </c>
      <c r="H23" s="336">
        <f t="shared" si="3"/>
        <v>0</v>
      </c>
      <c r="I23" s="333" t="s">
        <v>317</v>
      </c>
    </row>
    <row r="24" spans="1:12" ht="21.75" customHeight="1" thickBot="1" x14ac:dyDescent="0.25">
      <c r="A24" s="182" t="s">
        <v>22</v>
      </c>
      <c r="B24" s="51">
        <v>9.1750000000000007</v>
      </c>
      <c r="C24" s="52">
        <v>25</v>
      </c>
      <c r="D24" s="50">
        <f t="shared" si="4"/>
        <v>229.37500000000003</v>
      </c>
      <c r="E24" s="64"/>
      <c r="F24" s="335">
        <f t="shared" si="9"/>
        <v>0</v>
      </c>
      <c r="G24" s="65">
        <f t="shared" si="10"/>
        <v>0</v>
      </c>
      <c r="H24" s="336">
        <f t="shared" si="3"/>
        <v>0</v>
      </c>
      <c r="I24" s="333" t="s">
        <v>317</v>
      </c>
    </row>
    <row r="25" spans="1:12" ht="21.75" customHeight="1" thickBot="1" x14ac:dyDescent="0.25">
      <c r="A25" s="182" t="s">
        <v>314</v>
      </c>
      <c r="B25" s="51">
        <v>9.15</v>
      </c>
      <c r="C25" s="52">
        <v>8</v>
      </c>
      <c r="D25" s="50">
        <f t="shared" si="4"/>
        <v>73.2</v>
      </c>
      <c r="E25" s="64"/>
      <c r="F25" s="335">
        <f>IF(ISERROR(E25*B25),0,(E25*B25))</f>
        <v>0</v>
      </c>
      <c r="G25" s="65">
        <f>IF(ISERROR(E25/C25),0,(E25/C25))</f>
        <v>0</v>
      </c>
      <c r="H25" s="336">
        <f>IF(ISERROR(ROUND($I$2*E25,1)),0,ROUND($I$2*E25,1))</f>
        <v>0</v>
      </c>
      <c r="I25" s="333" t="s">
        <v>120</v>
      </c>
    </row>
    <row r="26" spans="1:12" ht="21.75" customHeight="1" thickBot="1" x14ac:dyDescent="0.25">
      <c r="A26" s="182" t="s">
        <v>809</v>
      </c>
      <c r="B26" s="51">
        <v>9.15</v>
      </c>
      <c r="C26" s="52">
        <v>8</v>
      </c>
      <c r="D26" s="50">
        <f t="shared" si="4"/>
        <v>73.2</v>
      </c>
      <c r="E26" s="64"/>
      <c r="F26" s="335">
        <f t="shared" ref="F26:F51" si="11">IF(ISERROR(E26*B26),0,(E26*B26))</f>
        <v>0</v>
      </c>
      <c r="G26" s="65">
        <f t="shared" ref="G26:G51" si="12">IF(ISERROR(E26/C26),0,(E26/C26))</f>
        <v>0</v>
      </c>
      <c r="H26" s="336">
        <f t="shared" ref="H26:H51" si="13">IF(ISERROR(ROUND($I$2*E26,1)),0,ROUND($I$2*E26,1))</f>
        <v>0</v>
      </c>
      <c r="I26" s="333" t="s">
        <v>120</v>
      </c>
    </row>
    <row r="27" spans="1:12" ht="30.75" thickBot="1" x14ac:dyDescent="0.25">
      <c r="A27" s="17" t="s">
        <v>1083</v>
      </c>
      <c r="B27" s="51">
        <v>3.74</v>
      </c>
      <c r="C27" s="52">
        <v>10</v>
      </c>
      <c r="D27" s="50">
        <f>IF(ISERROR(C27*B27),0,C27*B27)</f>
        <v>37.400000000000006</v>
      </c>
      <c r="E27" s="64"/>
      <c r="F27" s="335">
        <f t="shared" si="11"/>
        <v>0</v>
      </c>
      <c r="G27" s="65">
        <f t="shared" si="12"/>
        <v>0</v>
      </c>
      <c r="H27" s="336">
        <f t="shared" si="13"/>
        <v>0</v>
      </c>
      <c r="I27" s="333" t="s">
        <v>319</v>
      </c>
    </row>
    <row r="28" spans="1:12" ht="21.75" customHeight="1" thickBot="1" x14ac:dyDescent="0.25">
      <c r="A28" s="182" t="s">
        <v>315</v>
      </c>
      <c r="B28" s="51">
        <v>4.4399999999999995</v>
      </c>
      <c r="C28" s="52">
        <v>25</v>
      </c>
      <c r="D28" s="50">
        <f>IF(ISERROR(C28*B28),0,C28*B28)</f>
        <v>110.99999999999999</v>
      </c>
      <c r="E28" s="64"/>
      <c r="F28" s="335">
        <f t="shared" si="11"/>
        <v>0</v>
      </c>
      <c r="G28" s="65">
        <f t="shared" si="12"/>
        <v>0</v>
      </c>
      <c r="H28" s="336">
        <f t="shared" si="13"/>
        <v>0</v>
      </c>
      <c r="I28" s="333" t="s">
        <v>120</v>
      </c>
    </row>
    <row r="29" spans="1:12" ht="21.75" customHeight="1" thickBot="1" x14ac:dyDescent="0.25">
      <c r="A29" s="182" t="s">
        <v>831</v>
      </c>
      <c r="B29" s="51">
        <v>7.48</v>
      </c>
      <c r="C29" s="52">
        <v>25</v>
      </c>
      <c r="D29" s="50">
        <f>IF(ISERROR(C29*B29),0,C29*B29)</f>
        <v>187</v>
      </c>
      <c r="E29" s="64"/>
      <c r="F29" s="335">
        <f t="shared" si="11"/>
        <v>0</v>
      </c>
      <c r="G29" s="65">
        <f t="shared" si="12"/>
        <v>0</v>
      </c>
      <c r="H29" s="336">
        <f t="shared" si="13"/>
        <v>0</v>
      </c>
      <c r="I29" s="333" t="s">
        <v>317</v>
      </c>
    </row>
    <row r="30" spans="1:12" ht="21.75" customHeight="1" thickBot="1" x14ac:dyDescent="0.25">
      <c r="A30" s="182" t="s">
        <v>27</v>
      </c>
      <c r="B30" s="51">
        <v>5.73</v>
      </c>
      <c r="C30" s="52">
        <v>12</v>
      </c>
      <c r="D30" s="50">
        <f>IF(ISERROR(C30*B30),0,C30*B30)</f>
        <v>68.760000000000005</v>
      </c>
      <c r="E30" s="64"/>
      <c r="F30" s="335">
        <f t="shared" si="11"/>
        <v>0</v>
      </c>
      <c r="G30" s="65">
        <f t="shared" si="12"/>
        <v>0</v>
      </c>
      <c r="H30" s="336">
        <f t="shared" si="13"/>
        <v>0</v>
      </c>
      <c r="I30" s="333" t="s">
        <v>320</v>
      </c>
    </row>
    <row r="31" spans="1:12" ht="21.75" customHeight="1" thickBot="1" x14ac:dyDescent="0.25">
      <c r="A31" s="182" t="s">
        <v>29</v>
      </c>
      <c r="B31" s="51">
        <v>3.3</v>
      </c>
      <c r="C31" s="52">
        <v>160</v>
      </c>
      <c r="D31" s="50">
        <f>IF(ISERROR(C31*B31),0,C31*B31)</f>
        <v>528</v>
      </c>
      <c r="E31" s="64"/>
      <c r="F31" s="335">
        <f t="shared" si="11"/>
        <v>0</v>
      </c>
      <c r="G31" s="65">
        <f t="shared" si="12"/>
        <v>0</v>
      </c>
      <c r="H31" s="336">
        <f t="shared" si="13"/>
        <v>0</v>
      </c>
      <c r="I31" s="333" t="s">
        <v>317</v>
      </c>
    </row>
    <row r="32" spans="1:12" ht="21.75" customHeight="1" thickBot="1" x14ac:dyDescent="0.25">
      <c r="A32" s="182" t="s">
        <v>823</v>
      </c>
      <c r="B32" s="51">
        <v>21.96</v>
      </c>
      <c r="C32" s="52">
        <v>12</v>
      </c>
      <c r="D32" s="50">
        <f t="shared" ref="D32:D51" si="14">IF(ISERROR(C32*B32),0,C32*B32)</f>
        <v>263.52</v>
      </c>
      <c r="E32" s="64"/>
      <c r="F32" s="335">
        <f t="shared" si="11"/>
        <v>0</v>
      </c>
      <c r="G32" s="65">
        <f t="shared" si="12"/>
        <v>0</v>
      </c>
      <c r="H32" s="336">
        <f t="shared" si="13"/>
        <v>0</v>
      </c>
      <c r="I32" s="333" t="s">
        <v>319</v>
      </c>
    </row>
    <row r="33" spans="1:9" ht="21.75" customHeight="1" thickBot="1" x14ac:dyDescent="0.25">
      <c r="A33" s="182" t="s">
        <v>32</v>
      </c>
      <c r="B33" s="51">
        <v>9.0500000000000007</v>
      </c>
      <c r="C33" s="52">
        <v>25</v>
      </c>
      <c r="D33" s="50">
        <f t="shared" si="14"/>
        <v>226.25000000000003</v>
      </c>
      <c r="E33" s="64"/>
      <c r="F33" s="335">
        <f t="shared" si="11"/>
        <v>0</v>
      </c>
      <c r="G33" s="65">
        <f t="shared" si="12"/>
        <v>0</v>
      </c>
      <c r="H33" s="336">
        <f t="shared" si="13"/>
        <v>0</v>
      </c>
      <c r="I33" s="333" t="s">
        <v>317</v>
      </c>
    </row>
    <row r="34" spans="1:9" ht="21.75" customHeight="1" thickBot="1" x14ac:dyDescent="0.25">
      <c r="A34" s="182" t="s">
        <v>832</v>
      </c>
      <c r="B34" s="51">
        <v>2.13</v>
      </c>
      <c r="C34" s="52">
        <v>110</v>
      </c>
      <c r="D34" s="50">
        <f t="shared" si="14"/>
        <v>234.29999999999998</v>
      </c>
      <c r="E34" s="64"/>
      <c r="F34" s="335">
        <f t="shared" si="11"/>
        <v>0</v>
      </c>
      <c r="G34" s="65">
        <f t="shared" si="12"/>
        <v>0</v>
      </c>
      <c r="H34" s="336">
        <f t="shared" si="13"/>
        <v>0</v>
      </c>
      <c r="I34" s="333" t="s">
        <v>317</v>
      </c>
    </row>
    <row r="35" spans="1:9" ht="21.75" customHeight="1" thickBot="1" x14ac:dyDescent="0.25">
      <c r="A35" s="182" t="s">
        <v>837</v>
      </c>
      <c r="B35" s="51">
        <v>2.6850000000000001</v>
      </c>
      <c r="C35" s="52">
        <v>130</v>
      </c>
      <c r="D35" s="50">
        <f t="shared" si="14"/>
        <v>349.05</v>
      </c>
      <c r="E35" s="64"/>
      <c r="F35" s="335">
        <f t="shared" si="11"/>
        <v>0</v>
      </c>
      <c r="G35" s="65">
        <f t="shared" si="12"/>
        <v>0</v>
      </c>
      <c r="H35" s="336">
        <f t="shared" si="13"/>
        <v>0</v>
      </c>
      <c r="I35" s="333" t="s">
        <v>317</v>
      </c>
    </row>
    <row r="36" spans="1:9" ht="21.75" customHeight="1" thickBot="1" x14ac:dyDescent="0.25">
      <c r="A36" s="182" t="s">
        <v>813</v>
      </c>
      <c r="B36" s="51">
        <v>5.95</v>
      </c>
      <c r="C36" s="52">
        <v>10</v>
      </c>
      <c r="D36" s="50">
        <f t="shared" si="14"/>
        <v>59.5</v>
      </c>
      <c r="E36" s="64"/>
      <c r="F36" s="335">
        <f t="shared" si="11"/>
        <v>0</v>
      </c>
      <c r="G36" s="65">
        <f t="shared" si="12"/>
        <v>0</v>
      </c>
      <c r="H36" s="336">
        <f t="shared" si="13"/>
        <v>0</v>
      </c>
      <c r="I36" s="333" t="s">
        <v>120</v>
      </c>
    </row>
    <row r="37" spans="1:9" ht="21.75" customHeight="1" thickBot="1" x14ac:dyDescent="0.25">
      <c r="A37" s="182" t="s">
        <v>824</v>
      </c>
      <c r="B37" s="51">
        <v>2.19</v>
      </c>
      <c r="C37" s="52">
        <v>20</v>
      </c>
      <c r="D37" s="50">
        <f t="shared" si="14"/>
        <v>43.8</v>
      </c>
      <c r="E37" s="64"/>
      <c r="F37" s="335">
        <f t="shared" si="11"/>
        <v>0</v>
      </c>
      <c r="G37" s="65">
        <f t="shared" si="12"/>
        <v>0</v>
      </c>
      <c r="H37" s="336">
        <f t="shared" si="13"/>
        <v>0</v>
      </c>
      <c r="I37" s="333" t="s">
        <v>317</v>
      </c>
    </row>
    <row r="38" spans="1:9" ht="21.75" customHeight="1" thickBot="1" x14ac:dyDescent="0.25">
      <c r="A38" s="182" t="s">
        <v>36</v>
      </c>
      <c r="B38" s="51">
        <v>2.92</v>
      </c>
      <c r="C38" s="52">
        <v>15</v>
      </c>
      <c r="D38" s="50">
        <f t="shared" si="14"/>
        <v>43.8</v>
      </c>
      <c r="E38" s="64"/>
      <c r="F38" s="335">
        <f t="shared" si="11"/>
        <v>0</v>
      </c>
      <c r="G38" s="65">
        <f t="shared" si="12"/>
        <v>0</v>
      </c>
      <c r="H38" s="336">
        <f t="shared" si="13"/>
        <v>0</v>
      </c>
      <c r="I38" s="333" t="s">
        <v>120</v>
      </c>
    </row>
    <row r="39" spans="1:9" ht="21.75" customHeight="1" thickBot="1" x14ac:dyDescent="0.25">
      <c r="A39" s="182" t="s">
        <v>815</v>
      </c>
      <c r="B39" s="51">
        <v>3.08</v>
      </c>
      <c r="C39" s="52">
        <v>15</v>
      </c>
      <c r="D39" s="50">
        <f t="shared" si="14"/>
        <v>46.2</v>
      </c>
      <c r="E39" s="64"/>
      <c r="F39" s="335">
        <f t="shared" si="11"/>
        <v>0</v>
      </c>
      <c r="G39" s="65">
        <f t="shared" si="12"/>
        <v>0</v>
      </c>
      <c r="H39" s="336">
        <f t="shared" si="13"/>
        <v>0</v>
      </c>
      <c r="I39" s="333" t="s">
        <v>120</v>
      </c>
    </row>
    <row r="40" spans="1:9" ht="21.75" customHeight="1" thickBot="1" x14ac:dyDescent="0.25">
      <c r="A40" s="182" t="s">
        <v>825</v>
      </c>
      <c r="B40" s="51">
        <v>21.52</v>
      </c>
      <c r="C40" s="52">
        <v>20</v>
      </c>
      <c r="D40" s="50">
        <f t="shared" si="14"/>
        <v>430.4</v>
      </c>
      <c r="E40" s="64"/>
      <c r="F40" s="335">
        <f t="shared" si="11"/>
        <v>0</v>
      </c>
      <c r="G40" s="65">
        <f t="shared" si="12"/>
        <v>0</v>
      </c>
      <c r="H40" s="336">
        <f t="shared" si="13"/>
        <v>0</v>
      </c>
      <c r="I40" s="333" t="s">
        <v>456</v>
      </c>
    </row>
    <row r="41" spans="1:9" ht="21.75" customHeight="1" thickBot="1" x14ac:dyDescent="0.25">
      <c r="A41" s="182" t="s">
        <v>817</v>
      </c>
      <c r="B41" s="51">
        <v>6</v>
      </c>
      <c r="C41" s="52">
        <v>25</v>
      </c>
      <c r="D41" s="50">
        <f t="shared" si="14"/>
        <v>150</v>
      </c>
      <c r="E41" s="64"/>
      <c r="F41" s="335">
        <f t="shared" si="11"/>
        <v>0</v>
      </c>
      <c r="G41" s="65">
        <f t="shared" si="12"/>
        <v>0</v>
      </c>
      <c r="H41" s="336">
        <f t="shared" si="13"/>
        <v>0</v>
      </c>
      <c r="I41" s="333" t="s">
        <v>317</v>
      </c>
    </row>
    <row r="42" spans="1:9" ht="21.75" customHeight="1" thickBot="1" x14ac:dyDescent="0.25">
      <c r="A42" s="182" t="s">
        <v>95</v>
      </c>
      <c r="B42" s="51">
        <v>3.77</v>
      </c>
      <c r="C42" s="52">
        <v>25</v>
      </c>
      <c r="D42" s="50">
        <f t="shared" si="14"/>
        <v>94.25</v>
      </c>
      <c r="E42" s="64"/>
      <c r="F42" s="335">
        <f t="shared" si="11"/>
        <v>0</v>
      </c>
      <c r="G42" s="65">
        <f t="shared" si="12"/>
        <v>0</v>
      </c>
      <c r="H42" s="336">
        <f t="shared" si="13"/>
        <v>0</v>
      </c>
      <c r="I42" s="333" t="s">
        <v>162</v>
      </c>
    </row>
    <row r="43" spans="1:9" ht="21.75" customHeight="1" thickBot="1" x14ac:dyDescent="0.25">
      <c r="A43" s="182" t="s">
        <v>811</v>
      </c>
      <c r="B43" s="51">
        <v>3.77</v>
      </c>
      <c r="C43" s="52">
        <v>25</v>
      </c>
      <c r="D43" s="50">
        <f t="shared" si="14"/>
        <v>94.25</v>
      </c>
      <c r="E43" s="64"/>
      <c r="F43" s="335">
        <f t="shared" si="11"/>
        <v>0</v>
      </c>
      <c r="G43" s="65">
        <f t="shared" si="12"/>
        <v>0</v>
      </c>
      <c r="H43" s="336">
        <f t="shared" si="13"/>
        <v>0</v>
      </c>
      <c r="I43" s="333" t="s">
        <v>162</v>
      </c>
    </row>
    <row r="44" spans="1:9" ht="21.75" customHeight="1" thickBot="1" x14ac:dyDescent="0.25">
      <c r="A44" s="182" t="s">
        <v>834</v>
      </c>
      <c r="B44" s="51">
        <v>2.85</v>
      </c>
      <c r="C44" s="52">
        <v>120</v>
      </c>
      <c r="D44" s="50">
        <f t="shared" si="14"/>
        <v>342</v>
      </c>
      <c r="E44" s="64"/>
      <c r="F44" s="335">
        <f t="shared" si="11"/>
        <v>0</v>
      </c>
      <c r="G44" s="65">
        <f t="shared" si="12"/>
        <v>0</v>
      </c>
      <c r="H44" s="336">
        <f t="shared" si="13"/>
        <v>0</v>
      </c>
      <c r="I44" s="333" t="s">
        <v>162</v>
      </c>
    </row>
    <row r="45" spans="1:9" ht="21.75" customHeight="1" thickBot="1" x14ac:dyDescent="0.25">
      <c r="A45" s="182" t="s">
        <v>40</v>
      </c>
      <c r="B45" s="51">
        <v>15.67</v>
      </c>
      <c r="C45" s="52">
        <v>12</v>
      </c>
      <c r="D45" s="50">
        <f t="shared" si="14"/>
        <v>188.04</v>
      </c>
      <c r="E45" s="64"/>
      <c r="F45" s="335">
        <f t="shared" si="11"/>
        <v>0</v>
      </c>
      <c r="G45" s="65">
        <f t="shared" si="12"/>
        <v>0</v>
      </c>
      <c r="H45" s="336">
        <f t="shared" si="13"/>
        <v>0</v>
      </c>
      <c r="I45" s="333" t="s">
        <v>317</v>
      </c>
    </row>
    <row r="46" spans="1:9" ht="21.75" customHeight="1" thickBot="1" x14ac:dyDescent="0.25">
      <c r="A46" s="182" t="s">
        <v>406</v>
      </c>
      <c r="B46" s="51">
        <v>2.5299999999999998</v>
      </c>
      <c r="C46" s="52">
        <v>150</v>
      </c>
      <c r="D46" s="50">
        <f t="shared" si="14"/>
        <v>379.49999999999994</v>
      </c>
      <c r="E46" s="64"/>
      <c r="F46" s="335">
        <f t="shared" si="11"/>
        <v>0</v>
      </c>
      <c r="G46" s="65">
        <f t="shared" si="12"/>
        <v>0</v>
      </c>
      <c r="H46" s="336">
        <f t="shared" si="13"/>
        <v>0</v>
      </c>
      <c r="I46" s="333" t="s">
        <v>317</v>
      </c>
    </row>
    <row r="47" spans="1:9" ht="21.75" customHeight="1" thickBot="1" x14ac:dyDescent="0.25">
      <c r="A47" s="182" t="s">
        <v>814</v>
      </c>
      <c r="B47" s="51">
        <v>3.0350000000000001</v>
      </c>
      <c r="C47" s="52">
        <v>15</v>
      </c>
      <c r="D47" s="50">
        <f t="shared" si="14"/>
        <v>45.525000000000006</v>
      </c>
      <c r="E47" s="64"/>
      <c r="F47" s="335">
        <f t="shared" si="11"/>
        <v>0</v>
      </c>
      <c r="G47" s="65">
        <f t="shared" si="12"/>
        <v>0</v>
      </c>
      <c r="H47" s="336">
        <f t="shared" si="13"/>
        <v>0</v>
      </c>
      <c r="I47" s="333" t="s">
        <v>120</v>
      </c>
    </row>
    <row r="48" spans="1:9" ht="21.75" customHeight="1" thickBot="1" x14ac:dyDescent="0.25">
      <c r="A48" s="182" t="s">
        <v>838</v>
      </c>
      <c r="B48" s="51">
        <v>3.5649999999999999</v>
      </c>
      <c r="C48" s="52">
        <v>15</v>
      </c>
      <c r="D48" s="50">
        <f t="shared" si="14"/>
        <v>53.475000000000001</v>
      </c>
      <c r="E48" s="64"/>
      <c r="F48" s="335">
        <f t="shared" si="11"/>
        <v>0</v>
      </c>
      <c r="G48" s="65">
        <f t="shared" si="12"/>
        <v>0</v>
      </c>
      <c r="H48" s="336">
        <f t="shared" si="13"/>
        <v>0</v>
      </c>
      <c r="I48" s="333" t="s">
        <v>120</v>
      </c>
    </row>
    <row r="49" spans="1:14" ht="21.75" customHeight="1" thickBot="1" x14ac:dyDescent="0.25">
      <c r="A49" s="182" t="s">
        <v>43</v>
      </c>
      <c r="B49" s="51">
        <v>3.02</v>
      </c>
      <c r="C49" s="52">
        <v>120</v>
      </c>
      <c r="D49" s="50">
        <f t="shared" si="14"/>
        <v>362.4</v>
      </c>
      <c r="E49" s="64"/>
      <c r="F49" s="335">
        <f t="shared" si="11"/>
        <v>0</v>
      </c>
      <c r="G49" s="65">
        <f t="shared" si="12"/>
        <v>0</v>
      </c>
      <c r="H49" s="336">
        <f t="shared" si="13"/>
        <v>0</v>
      </c>
      <c r="I49" s="333" t="s">
        <v>317</v>
      </c>
    </row>
    <row r="50" spans="1:14" ht="21.75" customHeight="1" thickBot="1" x14ac:dyDescent="0.25">
      <c r="A50" s="182" t="s">
        <v>818</v>
      </c>
      <c r="B50" s="51">
        <v>26.01</v>
      </c>
      <c r="C50" s="52">
        <v>15</v>
      </c>
      <c r="D50" s="50">
        <f t="shared" si="14"/>
        <v>390.15000000000003</v>
      </c>
      <c r="E50" s="64"/>
      <c r="F50" s="335">
        <f t="shared" si="11"/>
        <v>0</v>
      </c>
      <c r="G50" s="65">
        <f t="shared" si="12"/>
        <v>0</v>
      </c>
      <c r="H50" s="336">
        <f t="shared" si="13"/>
        <v>0</v>
      </c>
      <c r="I50" s="333" t="s">
        <v>319</v>
      </c>
    </row>
    <row r="51" spans="1:14" ht="21.75" customHeight="1" thickBot="1" x14ac:dyDescent="0.25">
      <c r="A51" s="182" t="s">
        <v>826</v>
      </c>
      <c r="B51" s="51">
        <v>5.83</v>
      </c>
      <c r="C51" s="52">
        <v>15</v>
      </c>
      <c r="D51" s="50">
        <f t="shared" si="14"/>
        <v>87.45</v>
      </c>
      <c r="E51" s="301"/>
      <c r="F51" s="335">
        <f t="shared" si="11"/>
        <v>0</v>
      </c>
      <c r="G51" s="65">
        <f t="shared" si="12"/>
        <v>0</v>
      </c>
      <c r="H51" s="336">
        <f t="shared" si="13"/>
        <v>0</v>
      </c>
      <c r="I51" s="333" t="s">
        <v>162</v>
      </c>
    </row>
    <row r="52" spans="1:14" ht="21.75" customHeight="1" thickTop="1" thickBot="1" x14ac:dyDescent="0.25">
      <c r="A52" s="126" t="s">
        <v>105</v>
      </c>
      <c r="B52" s="127"/>
      <c r="C52" s="128"/>
      <c r="D52" s="129">
        <f t="shared" ref="D52:D58" si="15">IF(ISERROR(C52*B52),0,C52*B52)</f>
        <v>0</v>
      </c>
      <c r="E52" s="282"/>
      <c r="F52" s="337">
        <f t="shared" ref="F52:F58" si="16">IF(ISERROR(E52*B52),0,(E52*B52))</f>
        <v>0</v>
      </c>
      <c r="G52" s="137">
        <f t="shared" ref="G52:G58" si="17">IF(ISERROR(E52/C52),0,(E52/C52))</f>
        <v>0</v>
      </c>
      <c r="H52" s="338">
        <f t="shared" ref="H52:H58" si="18">IF(ISERROR(ROUND($I$2*E52,1)),0,ROUND($I$2*E52,1))</f>
        <v>0</v>
      </c>
      <c r="I52" s="278"/>
      <c r="J52" s="590" t="s">
        <v>379</v>
      </c>
      <c r="K52" s="591"/>
      <c r="L52" s="226"/>
      <c r="M52" s="184" t="s">
        <v>457</v>
      </c>
      <c r="N52" s="232"/>
    </row>
    <row r="53" spans="1:14" ht="21.75" customHeight="1" thickBot="1" x14ac:dyDescent="0.25">
      <c r="A53" s="131" t="s">
        <v>106</v>
      </c>
      <c r="B53" s="57"/>
      <c r="C53" s="66"/>
      <c r="D53" s="16">
        <f t="shared" si="15"/>
        <v>0</v>
      </c>
      <c r="E53" s="64"/>
      <c r="F53" s="339">
        <f t="shared" si="16"/>
        <v>0</v>
      </c>
      <c r="G53" s="68">
        <f t="shared" si="17"/>
        <v>0</v>
      </c>
      <c r="H53" s="340">
        <f t="shared" si="18"/>
        <v>0</v>
      </c>
      <c r="I53" s="279"/>
      <c r="J53" s="590" t="s">
        <v>379</v>
      </c>
      <c r="K53" s="591"/>
      <c r="L53" s="226"/>
      <c r="M53" s="184" t="s">
        <v>457</v>
      </c>
      <c r="N53" s="232"/>
    </row>
    <row r="54" spans="1:14" ht="21.75" customHeight="1" thickBot="1" x14ac:dyDescent="0.25">
      <c r="A54" s="131" t="s">
        <v>107</v>
      </c>
      <c r="B54" s="57"/>
      <c r="C54" s="66"/>
      <c r="D54" s="16">
        <f t="shared" si="15"/>
        <v>0</v>
      </c>
      <c r="E54" s="64"/>
      <c r="F54" s="339">
        <f t="shared" si="16"/>
        <v>0</v>
      </c>
      <c r="G54" s="68">
        <f t="shared" si="17"/>
        <v>0</v>
      </c>
      <c r="H54" s="340">
        <f t="shared" si="18"/>
        <v>0</v>
      </c>
      <c r="I54" s="279"/>
      <c r="J54" s="590" t="s">
        <v>379</v>
      </c>
      <c r="K54" s="591"/>
      <c r="L54" s="226"/>
      <c r="M54" s="184" t="s">
        <v>457</v>
      </c>
      <c r="N54" s="232"/>
    </row>
    <row r="55" spans="1:14" ht="21.75" customHeight="1" thickBot="1" x14ac:dyDescent="0.25">
      <c r="A55" s="131" t="s">
        <v>108</v>
      </c>
      <c r="B55" s="57"/>
      <c r="C55" s="66"/>
      <c r="D55" s="16">
        <f t="shared" si="15"/>
        <v>0</v>
      </c>
      <c r="E55" s="64"/>
      <c r="F55" s="339">
        <f t="shared" si="16"/>
        <v>0</v>
      </c>
      <c r="G55" s="68">
        <f t="shared" si="17"/>
        <v>0</v>
      </c>
      <c r="H55" s="340">
        <f t="shared" si="18"/>
        <v>0</v>
      </c>
      <c r="I55" s="279"/>
      <c r="J55" s="590" t="s">
        <v>379</v>
      </c>
      <c r="K55" s="591"/>
      <c r="L55" s="226"/>
      <c r="M55" s="184" t="s">
        <v>457</v>
      </c>
      <c r="N55" s="232"/>
    </row>
    <row r="56" spans="1:14" ht="21.75" customHeight="1" thickBot="1" x14ac:dyDescent="0.25">
      <c r="A56" s="131" t="s">
        <v>109</v>
      </c>
      <c r="B56" s="57"/>
      <c r="C56" s="66"/>
      <c r="D56" s="16">
        <f t="shared" si="15"/>
        <v>0</v>
      </c>
      <c r="E56" s="64"/>
      <c r="F56" s="339">
        <f t="shared" si="16"/>
        <v>0</v>
      </c>
      <c r="G56" s="68">
        <f t="shared" si="17"/>
        <v>0</v>
      </c>
      <c r="H56" s="340">
        <f t="shared" si="18"/>
        <v>0</v>
      </c>
      <c r="I56" s="279"/>
      <c r="J56" s="590" t="s">
        <v>379</v>
      </c>
      <c r="K56" s="591"/>
      <c r="L56" s="226"/>
      <c r="M56" s="184" t="s">
        <v>457</v>
      </c>
      <c r="N56" s="232"/>
    </row>
    <row r="57" spans="1:14" ht="21.75" customHeight="1" thickBot="1" x14ac:dyDescent="0.25">
      <c r="A57" s="131" t="s">
        <v>110</v>
      </c>
      <c r="B57" s="57"/>
      <c r="C57" s="66"/>
      <c r="D57" s="16">
        <f t="shared" si="15"/>
        <v>0</v>
      </c>
      <c r="E57" s="64"/>
      <c r="F57" s="339">
        <f t="shared" si="16"/>
        <v>0</v>
      </c>
      <c r="G57" s="68">
        <f t="shared" si="17"/>
        <v>0</v>
      </c>
      <c r="H57" s="340">
        <f t="shared" si="18"/>
        <v>0</v>
      </c>
      <c r="I57" s="279"/>
      <c r="J57" s="590" t="s">
        <v>379</v>
      </c>
      <c r="K57" s="591"/>
      <c r="L57" s="226"/>
      <c r="M57" s="184" t="s">
        <v>457</v>
      </c>
      <c r="N57" s="232"/>
    </row>
    <row r="58" spans="1:14" ht="21.75" customHeight="1" thickBot="1" x14ac:dyDescent="0.25">
      <c r="A58" s="132" t="s">
        <v>111</v>
      </c>
      <c r="B58" s="138"/>
      <c r="C58" s="139"/>
      <c r="D58" s="140">
        <f t="shared" si="15"/>
        <v>0</v>
      </c>
      <c r="E58" s="135"/>
      <c r="F58" s="341">
        <f t="shared" si="16"/>
        <v>0</v>
      </c>
      <c r="G58" s="141">
        <f t="shared" si="17"/>
        <v>0</v>
      </c>
      <c r="H58" s="342">
        <f t="shared" si="18"/>
        <v>0</v>
      </c>
      <c r="I58" s="280"/>
      <c r="J58" s="590" t="s">
        <v>379</v>
      </c>
      <c r="K58" s="591"/>
      <c r="L58" s="226"/>
      <c r="M58" s="184" t="s">
        <v>457</v>
      </c>
      <c r="N58" s="232"/>
    </row>
    <row r="59" spans="1:14" ht="21.75" customHeight="1" thickTop="1" x14ac:dyDescent="0.25"/>
    <row r="60" spans="1:14" ht="14.25" x14ac:dyDescent="0.2">
      <c r="B60"/>
    </row>
    <row r="61" spans="1:14" ht="14.25" x14ac:dyDescent="0.2">
      <c r="B61"/>
    </row>
    <row r="62" spans="1:14" ht="14.25" x14ac:dyDescent="0.2">
      <c r="B62"/>
    </row>
    <row r="63" spans="1:14" ht="14.25" x14ac:dyDescent="0.2">
      <c r="B63"/>
    </row>
    <row r="64" spans="1:14" x14ac:dyDescent="0.2">
      <c r="B64"/>
      <c r="E64" s="166"/>
      <c r="F64" s="26"/>
      <c r="G64" s="223"/>
    </row>
    <row r="65" spans="2:7" x14ac:dyDescent="0.2">
      <c r="B65"/>
      <c r="E65" s="166"/>
      <c r="F65" s="26"/>
      <c r="G65" s="223"/>
    </row>
    <row r="66" spans="2:7" x14ac:dyDescent="0.2">
      <c r="B66"/>
      <c r="E66" s="166"/>
      <c r="F66" s="26"/>
      <c r="G66" s="223"/>
    </row>
    <row r="67" spans="2:7" x14ac:dyDescent="0.2">
      <c r="B67"/>
      <c r="E67" s="166"/>
      <c r="F67" s="26"/>
      <c r="G67" s="223"/>
    </row>
    <row r="68" spans="2:7" ht="14.25" x14ac:dyDescent="0.2">
      <c r="B68"/>
    </row>
    <row r="69" spans="2:7" ht="14.25" x14ac:dyDescent="0.2">
      <c r="B69"/>
    </row>
    <row r="70" spans="2:7" ht="14.25" x14ac:dyDescent="0.2">
      <c r="B70"/>
    </row>
    <row r="71" spans="2:7" ht="14.25" x14ac:dyDescent="0.2">
      <c r="B71"/>
    </row>
    <row r="72" spans="2:7" ht="14.25" x14ac:dyDescent="0.2">
      <c r="B72"/>
    </row>
    <row r="73" spans="2:7" ht="14.25" x14ac:dyDescent="0.2">
      <c r="B73"/>
    </row>
    <row r="74" spans="2:7" ht="14.25" x14ac:dyDescent="0.2">
      <c r="B74"/>
    </row>
    <row r="75" spans="2:7" ht="14.25" x14ac:dyDescent="0.2">
      <c r="B75"/>
    </row>
    <row r="76" spans="2:7" ht="14.25" x14ac:dyDescent="0.2">
      <c r="B76"/>
    </row>
    <row r="77" spans="2:7" ht="14.25" x14ac:dyDescent="0.2">
      <c r="B77"/>
    </row>
    <row r="78" spans="2:7" ht="14.25" x14ac:dyDescent="0.2">
      <c r="B78"/>
    </row>
    <row r="79" spans="2:7" ht="14.25" x14ac:dyDescent="0.2">
      <c r="B79"/>
    </row>
    <row r="80" spans="2:7" ht="14.25" x14ac:dyDescent="0.2">
      <c r="B80"/>
    </row>
    <row r="81" spans="2:2" ht="14.25" x14ac:dyDescent="0.2">
      <c r="B81"/>
    </row>
    <row r="82" spans="2:2" ht="14.25" x14ac:dyDescent="0.2">
      <c r="B82"/>
    </row>
    <row r="83" spans="2:2" ht="14.25" x14ac:dyDescent="0.2">
      <c r="B83"/>
    </row>
    <row r="84" spans="2:2" ht="14.25" x14ac:dyDescent="0.2">
      <c r="B84"/>
    </row>
    <row r="85" spans="2:2" ht="14.25" x14ac:dyDescent="0.2">
      <c r="B85"/>
    </row>
    <row r="86" spans="2:2" ht="14.25" x14ac:dyDescent="0.2">
      <c r="B86"/>
    </row>
    <row r="87" spans="2:2" ht="14.25" x14ac:dyDescent="0.2">
      <c r="B87"/>
    </row>
    <row r="88" spans="2:2" ht="14.25" x14ac:dyDescent="0.2">
      <c r="B88"/>
    </row>
    <row r="89" spans="2:2" ht="14.25" x14ac:dyDescent="0.2">
      <c r="B89"/>
    </row>
    <row r="90" spans="2:2" ht="14.25" x14ac:dyDescent="0.2">
      <c r="B90"/>
    </row>
    <row r="91" spans="2:2" ht="14.25" x14ac:dyDescent="0.2">
      <c r="B91"/>
    </row>
    <row r="92" spans="2:2" ht="14.25" x14ac:dyDescent="0.2">
      <c r="B92"/>
    </row>
    <row r="93" spans="2:2" ht="14.25" x14ac:dyDescent="0.2">
      <c r="B93"/>
    </row>
    <row r="94" spans="2:2" ht="14.25" x14ac:dyDescent="0.2">
      <c r="B94"/>
    </row>
    <row r="95" spans="2:2" ht="14.25" x14ac:dyDescent="0.2">
      <c r="B95"/>
    </row>
    <row r="96" spans="2:2" ht="14.25" x14ac:dyDescent="0.2">
      <c r="B96"/>
    </row>
    <row r="97" spans="2:2" ht="14.25" x14ac:dyDescent="0.2">
      <c r="B97"/>
    </row>
    <row r="98" spans="2:2" ht="14.25" x14ac:dyDescent="0.2">
      <c r="B98"/>
    </row>
    <row r="99" spans="2:2" ht="14.25" x14ac:dyDescent="0.2">
      <c r="B99"/>
    </row>
    <row r="100" spans="2:2" ht="14.25" x14ac:dyDescent="0.2">
      <c r="B100"/>
    </row>
    <row r="101" spans="2:2" ht="14.25" x14ac:dyDescent="0.2">
      <c r="B101"/>
    </row>
    <row r="102" spans="2:2" ht="14.25" x14ac:dyDescent="0.2">
      <c r="B102"/>
    </row>
    <row r="103" spans="2:2" ht="14.25" x14ac:dyDescent="0.2">
      <c r="B103"/>
    </row>
    <row r="104" spans="2:2" ht="14.25" x14ac:dyDescent="0.2">
      <c r="B104"/>
    </row>
    <row r="105" spans="2:2" ht="14.25" x14ac:dyDescent="0.2">
      <c r="B105"/>
    </row>
    <row r="106" spans="2:2" ht="14.25" x14ac:dyDescent="0.2">
      <c r="B106"/>
    </row>
    <row r="107" spans="2:2" ht="14.25" x14ac:dyDescent="0.2">
      <c r="B107"/>
    </row>
    <row r="108" spans="2:2" ht="14.25" x14ac:dyDescent="0.2">
      <c r="B108"/>
    </row>
    <row r="109" spans="2:2" ht="14.25" x14ac:dyDescent="0.2">
      <c r="B109"/>
    </row>
    <row r="110" spans="2:2" ht="14.25" x14ac:dyDescent="0.2">
      <c r="B110"/>
    </row>
    <row r="111" spans="2:2" ht="14.25" x14ac:dyDescent="0.2">
      <c r="B111"/>
    </row>
    <row r="112" spans="2:2" ht="14.25" x14ac:dyDescent="0.2">
      <c r="B112"/>
    </row>
    <row r="113" spans="2:2" ht="14.25" x14ac:dyDescent="0.2">
      <c r="B113"/>
    </row>
    <row r="114" spans="2:2" ht="14.25" x14ac:dyDescent="0.2">
      <c r="B114"/>
    </row>
    <row r="115" spans="2:2" ht="14.25" x14ac:dyDescent="0.2">
      <c r="B115"/>
    </row>
    <row r="116" spans="2:2" ht="14.25" x14ac:dyDescent="0.2">
      <c r="B116"/>
    </row>
    <row r="117" spans="2:2" ht="14.25" x14ac:dyDescent="0.2">
      <c r="B117"/>
    </row>
    <row r="118" spans="2:2" ht="14.25" x14ac:dyDescent="0.2">
      <c r="B118"/>
    </row>
    <row r="119" spans="2:2" ht="14.25" x14ac:dyDescent="0.2">
      <c r="B119"/>
    </row>
    <row r="120" spans="2:2" ht="14.25" x14ac:dyDescent="0.2">
      <c r="B120"/>
    </row>
    <row r="121" spans="2:2" ht="14.25" x14ac:dyDescent="0.2">
      <c r="B121"/>
    </row>
    <row r="122" spans="2:2" ht="14.25" x14ac:dyDescent="0.2">
      <c r="B122"/>
    </row>
    <row r="123" spans="2:2" ht="14.25" x14ac:dyDescent="0.2">
      <c r="B123"/>
    </row>
    <row r="124" spans="2:2" ht="14.25" x14ac:dyDescent="0.2">
      <c r="B124"/>
    </row>
    <row r="125" spans="2:2" ht="14.25" x14ac:dyDescent="0.2">
      <c r="B125"/>
    </row>
    <row r="126" spans="2:2" ht="14.25" x14ac:dyDescent="0.2">
      <c r="B126"/>
    </row>
    <row r="127" spans="2:2" ht="14.25" x14ac:dyDescent="0.2">
      <c r="B127"/>
    </row>
    <row r="128" spans="2:2" ht="14.25" x14ac:dyDescent="0.2">
      <c r="B128"/>
    </row>
    <row r="129" spans="2:2" ht="14.25" x14ac:dyDescent="0.2">
      <c r="B129"/>
    </row>
    <row r="130" spans="2:2" ht="14.25" x14ac:dyDescent="0.2">
      <c r="B130"/>
    </row>
    <row r="131" spans="2:2" ht="14.25" x14ac:dyDescent="0.2">
      <c r="B131"/>
    </row>
    <row r="132" spans="2:2" ht="14.25" x14ac:dyDescent="0.2">
      <c r="B132"/>
    </row>
    <row r="133" spans="2:2" ht="14.25" x14ac:dyDescent="0.2">
      <c r="B133"/>
    </row>
    <row r="134" spans="2:2" ht="14.25" x14ac:dyDescent="0.2">
      <c r="B134"/>
    </row>
    <row r="135" spans="2:2" ht="14.25" x14ac:dyDescent="0.2">
      <c r="B135"/>
    </row>
    <row r="136" spans="2:2" ht="14.25" x14ac:dyDescent="0.2">
      <c r="B136"/>
    </row>
    <row r="137" spans="2:2" ht="14.25" x14ac:dyDescent="0.2">
      <c r="B137"/>
    </row>
    <row r="138" spans="2:2" ht="14.25" x14ac:dyDescent="0.2">
      <c r="B138"/>
    </row>
    <row r="139" spans="2:2" ht="14.25" x14ac:dyDescent="0.2">
      <c r="B139"/>
    </row>
    <row r="140" spans="2:2" ht="14.25" x14ac:dyDescent="0.2">
      <c r="B140"/>
    </row>
    <row r="141" spans="2:2" ht="14.25" x14ac:dyDescent="0.2">
      <c r="B141"/>
    </row>
    <row r="142" spans="2:2" ht="14.25" x14ac:dyDescent="0.2">
      <c r="B142"/>
    </row>
    <row r="143" spans="2:2" ht="14.25" x14ac:dyDescent="0.2">
      <c r="B143"/>
    </row>
    <row r="144" spans="2:2" ht="14.25" x14ac:dyDescent="0.2">
      <c r="B144"/>
    </row>
    <row r="145" spans="2:2" ht="14.25" x14ac:dyDescent="0.2">
      <c r="B145"/>
    </row>
    <row r="146" spans="2:2" ht="14.25" x14ac:dyDescent="0.2">
      <c r="B146"/>
    </row>
    <row r="147" spans="2:2" ht="14.25" x14ac:dyDescent="0.2">
      <c r="B147"/>
    </row>
    <row r="148" spans="2:2" ht="14.25" x14ac:dyDescent="0.2">
      <c r="B148"/>
    </row>
    <row r="149" spans="2:2" ht="14.25" x14ac:dyDescent="0.2">
      <c r="B149"/>
    </row>
    <row r="150" spans="2:2" ht="14.25" x14ac:dyDescent="0.2">
      <c r="B150"/>
    </row>
    <row r="151" spans="2:2" ht="14.25" x14ac:dyDescent="0.2">
      <c r="B151"/>
    </row>
    <row r="152" spans="2:2" ht="14.25" x14ac:dyDescent="0.2">
      <c r="B152"/>
    </row>
    <row r="153" spans="2:2" ht="14.25" x14ac:dyDescent="0.2">
      <c r="B153"/>
    </row>
    <row r="154" spans="2:2" ht="14.25" x14ac:dyDescent="0.2">
      <c r="B154"/>
    </row>
    <row r="155" spans="2:2" ht="14.25" x14ac:dyDescent="0.2">
      <c r="B155"/>
    </row>
    <row r="156" spans="2:2" ht="14.25" x14ac:dyDescent="0.2">
      <c r="B156"/>
    </row>
    <row r="157" spans="2:2" ht="14.25" x14ac:dyDescent="0.2">
      <c r="B157"/>
    </row>
    <row r="158" spans="2:2" ht="14.25" x14ac:dyDescent="0.2">
      <c r="B158"/>
    </row>
    <row r="159" spans="2:2" ht="14.25" x14ac:dyDescent="0.2">
      <c r="B159"/>
    </row>
    <row r="160" spans="2:2" ht="14.25" x14ac:dyDescent="0.2">
      <c r="B160"/>
    </row>
    <row r="161" spans="2:2" ht="14.25" x14ac:dyDescent="0.2">
      <c r="B161"/>
    </row>
    <row r="162" spans="2:2" ht="14.25" x14ac:dyDescent="0.2">
      <c r="B162"/>
    </row>
    <row r="163" spans="2:2" ht="14.25" x14ac:dyDescent="0.2">
      <c r="B163"/>
    </row>
    <row r="164" spans="2:2" ht="14.25" x14ac:dyDescent="0.2">
      <c r="B164"/>
    </row>
    <row r="165" spans="2:2" ht="14.25" x14ac:dyDescent="0.2">
      <c r="B165"/>
    </row>
    <row r="166" spans="2:2" ht="14.25" x14ac:dyDescent="0.2">
      <c r="B166"/>
    </row>
    <row r="167" spans="2:2" ht="14.25" x14ac:dyDescent="0.2">
      <c r="B167"/>
    </row>
    <row r="168" spans="2:2" ht="14.25" x14ac:dyDescent="0.2">
      <c r="B168"/>
    </row>
    <row r="169" spans="2:2" ht="14.25" x14ac:dyDescent="0.2">
      <c r="B169"/>
    </row>
    <row r="170" spans="2:2" ht="14.25" x14ac:dyDescent="0.2">
      <c r="B170"/>
    </row>
    <row r="171" spans="2:2" ht="14.25" x14ac:dyDescent="0.2">
      <c r="B171"/>
    </row>
    <row r="172" spans="2:2" ht="14.25" x14ac:dyDescent="0.2">
      <c r="B172"/>
    </row>
    <row r="173" spans="2:2" ht="14.25" x14ac:dyDescent="0.2">
      <c r="B173"/>
    </row>
    <row r="174" spans="2:2" ht="14.25" x14ac:dyDescent="0.2">
      <c r="B174"/>
    </row>
    <row r="175" spans="2:2" ht="14.25" x14ac:dyDescent="0.2">
      <c r="B175"/>
    </row>
    <row r="176" spans="2:2" ht="14.25" x14ac:dyDescent="0.2">
      <c r="B176"/>
    </row>
    <row r="177" spans="2:2" ht="14.25" x14ac:dyDescent="0.2">
      <c r="B177"/>
    </row>
    <row r="178" spans="2:2" ht="14.25" x14ac:dyDescent="0.2">
      <c r="B178"/>
    </row>
    <row r="179" spans="2:2" ht="14.25" x14ac:dyDescent="0.2">
      <c r="B179"/>
    </row>
    <row r="180" spans="2:2" ht="14.25" x14ac:dyDescent="0.2">
      <c r="B180"/>
    </row>
    <row r="181" spans="2:2" ht="14.25" x14ac:dyDescent="0.2">
      <c r="B181"/>
    </row>
    <row r="182" spans="2:2" ht="14.25" x14ac:dyDescent="0.2">
      <c r="B182"/>
    </row>
    <row r="183" spans="2:2" ht="14.25" x14ac:dyDescent="0.2">
      <c r="B183"/>
    </row>
    <row r="184" spans="2:2" ht="14.25" x14ac:dyDescent="0.2">
      <c r="B184"/>
    </row>
    <row r="185" spans="2:2" ht="14.25" x14ac:dyDescent="0.2">
      <c r="B185"/>
    </row>
    <row r="186" spans="2:2" ht="14.25" x14ac:dyDescent="0.2">
      <c r="B186"/>
    </row>
    <row r="187" spans="2:2" ht="14.25" x14ac:dyDescent="0.2">
      <c r="B187"/>
    </row>
    <row r="188" spans="2:2" ht="14.25" x14ac:dyDescent="0.2">
      <c r="B188"/>
    </row>
    <row r="189" spans="2:2" ht="14.25" x14ac:dyDescent="0.2">
      <c r="B189"/>
    </row>
    <row r="190" spans="2:2" ht="14.25" x14ac:dyDescent="0.2">
      <c r="B190"/>
    </row>
    <row r="191" spans="2:2" ht="14.25" x14ac:dyDescent="0.2">
      <c r="B191"/>
    </row>
    <row r="192" spans="2:2" ht="14.25" x14ac:dyDescent="0.2">
      <c r="B192"/>
    </row>
    <row r="193" spans="2:2" ht="14.25" x14ac:dyDescent="0.2">
      <c r="B193"/>
    </row>
    <row r="194" spans="2:2" ht="14.25" x14ac:dyDescent="0.2">
      <c r="B194"/>
    </row>
    <row r="195" spans="2:2" ht="14.25" x14ac:dyDescent="0.2">
      <c r="B195"/>
    </row>
    <row r="196" spans="2:2" ht="14.25" x14ac:dyDescent="0.2">
      <c r="B196"/>
    </row>
    <row r="197" spans="2:2" ht="14.25" x14ac:dyDescent="0.2">
      <c r="B197"/>
    </row>
    <row r="198" spans="2:2" ht="14.25" x14ac:dyDescent="0.2">
      <c r="B198"/>
    </row>
    <row r="199" spans="2:2" ht="14.25" x14ac:dyDescent="0.2">
      <c r="B199"/>
    </row>
    <row r="200" spans="2:2" ht="14.25" x14ac:dyDescent="0.2">
      <c r="B200"/>
    </row>
    <row r="201" spans="2:2" ht="14.25" x14ac:dyDescent="0.2">
      <c r="B201"/>
    </row>
    <row r="202" spans="2:2" ht="14.25" x14ac:dyDescent="0.2">
      <c r="B202"/>
    </row>
    <row r="203" spans="2:2" ht="14.25" x14ac:dyDescent="0.2">
      <c r="B203"/>
    </row>
    <row r="204" spans="2:2" ht="14.25" x14ac:dyDescent="0.2">
      <c r="B204"/>
    </row>
    <row r="205" spans="2:2" ht="14.25" x14ac:dyDescent="0.2">
      <c r="B205"/>
    </row>
    <row r="206" spans="2:2" ht="14.25" x14ac:dyDescent="0.2">
      <c r="B206"/>
    </row>
    <row r="207" spans="2:2" ht="14.25" x14ac:dyDescent="0.2">
      <c r="B207"/>
    </row>
    <row r="208" spans="2:2" ht="14.25" x14ac:dyDescent="0.2">
      <c r="B208"/>
    </row>
    <row r="209" spans="2:2" ht="14.25" x14ac:dyDescent="0.2">
      <c r="B209"/>
    </row>
    <row r="210" spans="2:2" ht="14.25" x14ac:dyDescent="0.2">
      <c r="B210"/>
    </row>
    <row r="211" spans="2:2" ht="14.25" x14ac:dyDescent="0.2">
      <c r="B211"/>
    </row>
    <row r="212" spans="2:2" ht="14.25" x14ac:dyDescent="0.2">
      <c r="B212"/>
    </row>
    <row r="213" spans="2:2" ht="14.25" x14ac:dyDescent="0.2">
      <c r="B213"/>
    </row>
    <row r="214" spans="2:2" ht="14.25" x14ac:dyDescent="0.2">
      <c r="B214"/>
    </row>
    <row r="215" spans="2:2" ht="14.25" x14ac:dyDescent="0.2">
      <c r="B215"/>
    </row>
    <row r="216" spans="2:2" ht="14.25" x14ac:dyDescent="0.2">
      <c r="B216"/>
    </row>
    <row r="217" spans="2:2" ht="14.25" x14ac:dyDescent="0.2">
      <c r="B217"/>
    </row>
    <row r="218" spans="2:2" ht="14.25" x14ac:dyDescent="0.2">
      <c r="B218"/>
    </row>
    <row r="219" spans="2:2" ht="14.25" x14ac:dyDescent="0.2">
      <c r="B219"/>
    </row>
    <row r="220" spans="2:2" ht="14.25" x14ac:dyDescent="0.2">
      <c r="B220"/>
    </row>
  </sheetData>
  <sheetProtection algorithmName="SHA-512" hashValue="uXfH824yWiDSvSlMtoMWgdxe4j2RikpvWFIE1Eh/n4140VeF1TYuJwlfH0YlI1wPD92VXGsDB5/BUMU6TdIlyg==" saltValue="YklCWAFETW+2fablXn6D9w==" spinCount="100000" sheet="1" objects="1" scenarios="1"/>
  <mergeCells count="21">
    <mergeCell ref="J52:K52"/>
    <mergeCell ref="J10:K11"/>
    <mergeCell ref="L10:L11"/>
    <mergeCell ref="J12:L13"/>
    <mergeCell ref="J3:K3"/>
    <mergeCell ref="J8:K9"/>
    <mergeCell ref="L8:L9"/>
    <mergeCell ref="J14:L17"/>
    <mergeCell ref="J18:L19"/>
    <mergeCell ref="J58:K58"/>
    <mergeCell ref="J53:K53"/>
    <mergeCell ref="J54:K54"/>
    <mergeCell ref="J55:K55"/>
    <mergeCell ref="J56:K56"/>
    <mergeCell ref="J57:K57"/>
    <mergeCell ref="E1:H1"/>
    <mergeCell ref="M3:N3"/>
    <mergeCell ref="J4:L5"/>
    <mergeCell ref="J6:K7"/>
    <mergeCell ref="L6:L7"/>
    <mergeCell ref="M1:N2"/>
  </mergeCells>
  <conditionalFormatting sqref="E2:E3">
    <cfRule type="expression" dxfId="18" priority="36">
      <formula>SUM($E$4:$E$58)=0</formula>
    </cfRule>
  </conditionalFormatting>
  <conditionalFormatting sqref="I1:I2">
    <cfRule type="expression" dxfId="17" priority="17">
      <formula>OR($I$2="",$I$2=0)</formula>
    </cfRule>
  </conditionalFormatting>
  <conditionalFormatting sqref="I52:I58">
    <cfRule type="expression" dxfId="16" priority="3">
      <formula>AND($E52&gt;0,$I52="")</formula>
    </cfRule>
    <cfRule type="expression" dxfId="15" priority="14">
      <formula>$I52&lt;&gt;""</formula>
    </cfRule>
  </conditionalFormatting>
  <conditionalFormatting sqref="J6">
    <cfRule type="expression" dxfId="14" priority="11">
      <formula>$L$6=""</formula>
    </cfRule>
  </conditionalFormatting>
  <conditionalFormatting sqref="J3:K3">
    <cfRule type="expression" dxfId="13" priority="5">
      <formula>$L$3="0 %"</formula>
    </cfRule>
    <cfRule type="expression" dxfId="12" priority="6">
      <formula>AND($L$3&gt;0.6,$L$3&lt;&gt;"0 %",$J$2&gt;0)</formula>
    </cfRule>
  </conditionalFormatting>
  <conditionalFormatting sqref="J4:L5">
    <cfRule type="expression" dxfId="11" priority="4">
      <formula>$L$6=""</formula>
    </cfRule>
  </conditionalFormatting>
  <conditionalFormatting sqref="L3">
    <cfRule type="expression" dxfId="10" priority="7">
      <formula>AND($L$3&gt;0.6,$L$3&lt;&gt;"0 %",$J$2&gt;0)</formula>
    </cfRule>
  </conditionalFormatting>
  <conditionalFormatting sqref="L6">
    <cfRule type="expression" dxfId="9" priority="12">
      <formula>$L$6=""</formula>
    </cfRule>
  </conditionalFormatting>
  <conditionalFormatting sqref="L52:L58">
    <cfRule type="expression" dxfId="8" priority="15">
      <formula>AND($J52="insektenblütig JA / NEIN:",$L52&lt;&gt;"")</formula>
    </cfRule>
  </conditionalFormatting>
  <conditionalFormatting sqref="M3:N3">
    <cfRule type="expression" dxfId="7" priority="8">
      <formula>AND($L$3&gt;0.6,$L$3&lt;&gt;"0 %",$J$2&gt;0)</formula>
    </cfRule>
  </conditionalFormatting>
  <conditionalFormatting sqref="N52:N58">
    <cfRule type="expression" dxfId="6" priority="13">
      <formula>$N52&lt;&gt;""</formula>
    </cfRule>
  </conditionalFormatting>
  <hyperlinks>
    <hyperlink ref="M1:N2" location="'Zusammenfassung BIO'!A1" display="'Zusammenfassung BIO'!A1" xr:uid="{00000000-0004-0000-0400-000000000000}"/>
    <hyperlink ref="J18" r:id="rId1" location="c18154" xr:uid="{B450E402-6021-473E-8167-C9EBCC5AEF53}"/>
  </hyperlinks>
  <pageMargins left="0.7" right="0.7" top="0.78740157499999996" bottom="0.78740157499999996" header="0.3" footer="0.3"/>
  <pageSetup paperSize="9" scale="33" fitToHeight="3" orientation="portrait"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1000000}">
          <x14:formula1>
            <xm:f>'BIO (2)'!$AC$3:$AC$5</xm:f>
          </x14:formula1>
          <xm:sqref>L52:L58</xm:sqref>
        </x14:dataValidation>
        <x14:dataValidation type="list" allowBlank="1" showInputMessage="1" showErrorMessage="1" xr:uid="{00000000-0002-0000-0400-000002000000}">
          <x14:formula1>
            <xm:f>'BIO (2)'!$AD$3:$AD$9</xm:f>
          </x14:formula1>
          <xm:sqref>N52:N58</xm:sqref>
        </x14:dataValidation>
        <x14:dataValidation type="list" allowBlank="1" showInputMessage="1" showErrorMessage="1" errorTitle="nur Vorauswahl möglich" error="nur vorgegebene Dünger auswählbar" xr:uid="{00000000-0002-0000-0400-000003000000}">
          <x14:formula1>
            <xm:f>'BIO (2)'!$AE$3:$AE$10</xm:f>
          </x14:formula1>
          <xm:sqref>L6</xm:sqref>
        </x14:dataValidation>
        <x14:dataValidation type="list" allowBlank="1" showInputMessage="1" showErrorMessage="1" xr:uid="{C8571FE3-A9DC-46CC-97F6-7C504FAC50C7}">
          <x14:formula1>
            <xm:f>'BIO (2)'!$AB$3:$AB$15</xm:f>
          </x14:formula1>
          <xm:sqref>I52:I58</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pageSetUpPr fitToPage="1"/>
  </sheetPr>
  <dimension ref="A1:AH262"/>
  <sheetViews>
    <sheetView showZeros="0" zoomScale="80" zoomScaleNormal="80" zoomScaleSheetLayoutView="100" workbookViewId="0">
      <pane xSplit="1" topLeftCell="B1" activePane="topRight" state="frozen"/>
      <selection pane="topRight" activeCell="A31" sqref="A31"/>
    </sheetView>
  </sheetViews>
  <sheetFormatPr baseColWidth="10" defaultRowHeight="15" x14ac:dyDescent="0.25"/>
  <cols>
    <col min="1" max="1" width="45.125" customWidth="1"/>
    <col min="2" max="2" width="27.875" style="35" customWidth="1"/>
    <col min="3" max="3" width="20.875" customWidth="1"/>
    <col min="4" max="4" width="20.125" customWidth="1"/>
    <col min="5" max="5" width="14.625" customWidth="1"/>
    <col min="7" max="7" width="14.25" customWidth="1"/>
    <col min="9" max="9" width="21.25" customWidth="1"/>
    <col min="10" max="11" width="13.375" customWidth="1"/>
    <col min="12" max="12" width="15.125" customWidth="1"/>
    <col min="13" max="13" width="16" customWidth="1"/>
    <col min="14" max="14" width="17.375" customWidth="1"/>
    <col min="15" max="16" width="16.5" customWidth="1"/>
    <col min="20" max="20" width="16.375" bestFit="1" customWidth="1"/>
    <col min="22" max="22" width="14.625" customWidth="1"/>
    <col min="28" max="28" width="20.5" bestFit="1" customWidth="1"/>
    <col min="30" max="30" width="18.25" bestFit="1" customWidth="1"/>
    <col min="31" max="31" width="19" bestFit="1" customWidth="1"/>
    <col min="33" max="33" width="15.5" bestFit="1" customWidth="1"/>
  </cols>
  <sheetData>
    <row r="1" spans="1:34" ht="143.25" customHeight="1" thickBot="1" x14ac:dyDescent="0.25">
      <c r="A1" s="54" t="s">
        <v>552</v>
      </c>
      <c r="B1" s="1" t="s">
        <v>554</v>
      </c>
      <c r="C1" s="2" t="s">
        <v>112</v>
      </c>
      <c r="D1" s="3"/>
      <c r="E1" s="510" t="s">
        <v>0</v>
      </c>
      <c r="F1" s="511"/>
      <c r="G1" s="511"/>
      <c r="H1" s="511"/>
      <c r="I1" s="59" t="str">
        <f>IF($I$2="","bitte geben Sie HIER die
Begrünungsfläche  in ha an","Fläche in ha")</f>
        <v>Fläche in ha</v>
      </c>
      <c r="J1" s="4" t="s">
        <v>284</v>
      </c>
      <c r="K1" s="4" t="s">
        <v>1</v>
      </c>
      <c r="L1" s="5" t="s">
        <v>285</v>
      </c>
      <c r="M1" s="6"/>
    </row>
    <row r="2" spans="1:34" ht="46.5" customHeight="1" thickBot="1" x14ac:dyDescent="0.25">
      <c r="B2" s="7" t="s">
        <v>2</v>
      </c>
      <c r="C2" s="7" t="s">
        <v>3</v>
      </c>
      <c r="D2" s="188" t="s">
        <v>4</v>
      </c>
      <c r="E2" s="261" t="s">
        <v>5</v>
      </c>
      <c r="F2" s="9" t="s">
        <v>1</v>
      </c>
      <c r="G2" s="7" t="s">
        <v>288</v>
      </c>
      <c r="H2" s="10" t="s">
        <v>6</v>
      </c>
      <c r="I2" s="53">
        <f>'Begr.-Rechner BIO'!I2</f>
        <v>0</v>
      </c>
      <c r="J2" s="11">
        <f>SUM(E3:E57)</f>
        <v>0</v>
      </c>
      <c r="K2" s="12">
        <f>SUM(F3:F57)</f>
        <v>0</v>
      </c>
      <c r="L2" s="13">
        <f>SUM(G3:G57)</f>
        <v>0</v>
      </c>
      <c r="M2" s="171" t="s">
        <v>337</v>
      </c>
      <c r="N2" s="168" t="s">
        <v>332</v>
      </c>
      <c r="O2" s="157" t="s">
        <v>336</v>
      </c>
      <c r="P2" s="157" t="s">
        <v>380</v>
      </c>
      <c r="Q2" s="168" t="s">
        <v>334</v>
      </c>
      <c r="R2" s="168" t="s">
        <v>341</v>
      </c>
      <c r="S2" s="168" t="s">
        <v>323</v>
      </c>
      <c r="T2" s="168" t="s">
        <v>322</v>
      </c>
      <c r="U2" s="168" t="s">
        <v>339</v>
      </c>
      <c r="V2" s="181" t="s">
        <v>340</v>
      </c>
      <c r="W2" t="s">
        <v>326</v>
      </c>
      <c r="X2" s="162" t="s">
        <v>327</v>
      </c>
      <c r="Y2" s="162" t="s">
        <v>464</v>
      </c>
      <c r="Z2" s="168" t="s">
        <v>335</v>
      </c>
      <c r="AB2" s="183" t="s">
        <v>374</v>
      </c>
      <c r="AC2" s="213" t="s">
        <v>376</v>
      </c>
      <c r="AD2" s="213" t="s">
        <v>459</v>
      </c>
      <c r="AE2" t="s">
        <v>532</v>
      </c>
      <c r="AF2" t="s">
        <v>537</v>
      </c>
      <c r="AG2" t="s">
        <v>538</v>
      </c>
      <c r="AH2" t="s">
        <v>854</v>
      </c>
    </row>
    <row r="3" spans="1:34" ht="21.75" customHeight="1" thickBot="1" x14ac:dyDescent="0.25">
      <c r="A3" s="182" t="s">
        <v>816</v>
      </c>
      <c r="B3" s="57">
        <f>'Begr.-Rechner BIO'!$B4</f>
        <v>4.54</v>
      </c>
      <c r="C3" s="66">
        <f>'Begr.-Rechner BIO'!C4</f>
        <v>15</v>
      </c>
      <c r="D3" s="16">
        <f t="shared" ref="D3:D25" si="0">IF(ISERROR(C3*B3),0,C3*B3)</f>
        <v>68.099999999999994</v>
      </c>
      <c r="E3" s="145">
        <f>'Begr.-Rechner BIO'!E4</f>
        <v>0</v>
      </c>
      <c r="F3" s="67">
        <f>IF(ISERROR(E3*B3),0,(E3*B3))</f>
        <v>0</v>
      </c>
      <c r="G3" s="68">
        <f t="shared" ref="G3" si="1">IF(ISERROR(E3/C3),0,(E3/C3))</f>
        <v>0</v>
      </c>
      <c r="H3" s="63">
        <f t="shared" ref="H3" si="2">IF(ISERROR($I$2*E3),0,($I$2*E3))</f>
        <v>0</v>
      </c>
      <c r="I3" t="s">
        <v>120</v>
      </c>
      <c r="K3" s="438" t="s">
        <v>531</v>
      </c>
      <c r="L3" s="440"/>
      <c r="M3" t="s">
        <v>227</v>
      </c>
      <c r="N3" t="s">
        <v>338</v>
      </c>
      <c r="O3" t="str">
        <f>IF(E3&gt;0,"ja","nein")</f>
        <v>nein</v>
      </c>
      <c r="P3" t="str">
        <f>IF(O3="ja",I3,"")</f>
        <v/>
      </c>
      <c r="Q3" s="169">
        <f>COUNTIFS($M$3:$M$57,"ja",$O$3:$O$57,"ja")</f>
        <v>0</v>
      </c>
      <c r="R3" s="169" t="str">
        <f>IF(AND($R$5&gt;0,$R$4=0),"ja",IF(AND($R$5&gt;0,$R$4&gt;0),"nein",IF(AND($R$5=0,$R$4&gt;0),"nein","nein")))</f>
        <v>nein</v>
      </c>
      <c r="S3" s="169">
        <f t="array" ref="S3">SUM(1/(COUNTIF(P3:P57,P3:P57)))-1</f>
        <v>0</v>
      </c>
      <c r="T3" s="169">
        <f>COUNTIF($O$3:$O$57,"ja")</f>
        <v>0</v>
      </c>
      <c r="U3" s="172">
        <f>SUM($V$3:$V$58)</f>
        <v>0</v>
      </c>
      <c r="V3" s="180" t="str">
        <f>IF(AND(O3="ja",N3="ja"),1,"")</f>
        <v/>
      </c>
      <c r="W3" t="s">
        <v>333</v>
      </c>
      <c r="X3">
        <v>5</v>
      </c>
      <c r="Y3">
        <v>2</v>
      </c>
      <c r="Z3" t="str">
        <f>IFERROR(IF(AND($U$3&gt;=$X$3,$S$3&gt;=$Y$3),"Var.1; ",""),"")</f>
        <v/>
      </c>
      <c r="AB3" s="184"/>
    </row>
    <row r="4" spans="1:34" ht="21.75" customHeight="1" thickBot="1" x14ac:dyDescent="0.25">
      <c r="A4" s="182" t="s">
        <v>9</v>
      </c>
      <c r="B4" s="57">
        <f>'Begr.-Rechner BIO'!$B5</f>
        <v>5.3949999999999996</v>
      </c>
      <c r="C4" s="66">
        <f>'Begr.-Rechner BIO'!C5</f>
        <v>25</v>
      </c>
      <c r="D4" s="16">
        <f t="shared" si="0"/>
        <v>134.875</v>
      </c>
      <c r="E4" s="145">
        <f>'Begr.-Rechner BIO'!E5</f>
        <v>0</v>
      </c>
      <c r="F4" s="67">
        <f t="shared" ref="F4:F50" si="3">IF(ISERROR(E4*B4),0,(E4*B4))</f>
        <v>0</v>
      </c>
      <c r="G4" s="68">
        <f t="shared" ref="G4:G50" si="4">IF(ISERROR(E4/C4),0,(E4/C4))</f>
        <v>0</v>
      </c>
      <c r="H4" s="63">
        <f t="shared" ref="H4:H50" si="5">IF(ISERROR($I$2*E4),0,($I$2*E4))</f>
        <v>0</v>
      </c>
      <c r="I4" t="s">
        <v>317</v>
      </c>
      <c r="K4" s="608" t="str">
        <f>'Begr.-Rechner BIO'!L3</f>
        <v/>
      </c>
      <c r="L4" s="609"/>
      <c r="M4" t="s">
        <v>227</v>
      </c>
      <c r="N4" t="s">
        <v>338</v>
      </c>
      <c r="O4" t="str">
        <f>IF(E4&gt;0,"ja","nein")</f>
        <v>nein</v>
      </c>
      <c r="P4" t="str">
        <f t="shared" ref="P4:P57" si="6">IF(O4="ja",I4,"")</f>
        <v/>
      </c>
      <c r="R4" s="167">
        <f>COUNTIFS($M$3:$M$57,"nein",$O$3:$O$57,"ja")</f>
        <v>0</v>
      </c>
      <c r="V4" s="173" t="str">
        <f t="shared" ref="V4:V58" si="7">IF(AND(O4="ja",N4="ja"),1,"")</f>
        <v/>
      </c>
      <c r="W4" t="s">
        <v>325</v>
      </c>
      <c r="X4">
        <v>3</v>
      </c>
      <c r="Y4">
        <v>3</v>
      </c>
      <c r="Z4" t="str">
        <f>IFERROR(IF(AND($T$3&gt;=$X$4,$S$3&gt;=$Y$4),"Var.2; ",""),"")</f>
        <v/>
      </c>
      <c r="AB4" s="184" t="s">
        <v>370</v>
      </c>
      <c r="AC4" t="s">
        <v>377</v>
      </c>
      <c r="AD4" t="s">
        <v>15</v>
      </c>
      <c r="AE4" t="s">
        <v>533</v>
      </c>
      <c r="AF4">
        <v>0.7</v>
      </c>
      <c r="AG4">
        <v>0.87</v>
      </c>
      <c r="AH4" t="s">
        <v>853</v>
      </c>
    </row>
    <row r="5" spans="1:34" ht="21.75" customHeight="1" thickBot="1" x14ac:dyDescent="0.25">
      <c r="A5" s="182" t="s">
        <v>827</v>
      </c>
      <c r="B5" s="57">
        <f>'Begr.-Rechner BIO'!$B6</f>
        <v>3.64</v>
      </c>
      <c r="C5" s="66">
        <f>'Begr.-Rechner BIO'!C6</f>
        <v>25</v>
      </c>
      <c r="D5" s="16">
        <f t="shared" si="0"/>
        <v>91</v>
      </c>
      <c r="E5" s="145">
        <f>'Begr.-Rechner BIO'!E6</f>
        <v>0</v>
      </c>
      <c r="F5" s="67">
        <f t="shared" si="3"/>
        <v>0</v>
      </c>
      <c r="G5" s="68">
        <f t="shared" si="4"/>
        <v>0</v>
      </c>
      <c r="H5" s="63">
        <f t="shared" si="5"/>
        <v>0</v>
      </c>
      <c r="I5" t="s">
        <v>162</v>
      </c>
      <c r="M5" t="s">
        <v>227</v>
      </c>
      <c r="N5" t="s">
        <v>227</v>
      </c>
      <c r="O5" t="str">
        <f t="shared" ref="O5:O8" si="8">IF(E5&gt;0,"ja","nein")</f>
        <v>nein</v>
      </c>
      <c r="P5" t="str">
        <f t="shared" si="6"/>
        <v/>
      </c>
      <c r="R5" s="167">
        <f>COUNTIFS($M$3:$M$57,"ja",$O$3:$O$57,"ja")</f>
        <v>0</v>
      </c>
      <c r="V5" s="173" t="str">
        <f t="shared" si="7"/>
        <v/>
      </c>
      <c r="W5" t="s">
        <v>328</v>
      </c>
      <c r="X5">
        <v>3</v>
      </c>
      <c r="Y5">
        <v>2</v>
      </c>
      <c r="Z5" t="str">
        <f>IFERROR(IF(AND($T$3&gt;=$X$5,$S$3&gt;=$Y$5),"Var.3; ",""),"")</f>
        <v/>
      </c>
      <c r="AB5" s="184" t="s">
        <v>371</v>
      </c>
      <c r="AC5" t="s">
        <v>378</v>
      </c>
      <c r="AD5" t="s">
        <v>460</v>
      </c>
      <c r="AE5" t="s">
        <v>534</v>
      </c>
      <c r="AF5">
        <v>0.8</v>
      </c>
      <c r="AG5">
        <v>0.87</v>
      </c>
      <c r="AH5" t="s">
        <v>853</v>
      </c>
    </row>
    <row r="6" spans="1:34" ht="21.75" customHeight="1" thickBot="1" x14ac:dyDescent="0.25">
      <c r="A6" s="182" t="s">
        <v>821</v>
      </c>
      <c r="B6" s="57">
        <f>'Begr.-Rechner BIO'!$B7</f>
        <v>1.45</v>
      </c>
      <c r="C6" s="66">
        <f>'Begr.-Rechner BIO'!C7</f>
        <v>160</v>
      </c>
      <c r="D6" s="16">
        <f t="shared" si="0"/>
        <v>232</v>
      </c>
      <c r="E6" s="145">
        <f>'Begr.-Rechner BIO'!E7</f>
        <v>0</v>
      </c>
      <c r="F6" s="67">
        <f t="shared" si="3"/>
        <v>0</v>
      </c>
      <c r="G6" s="68">
        <f t="shared" si="4"/>
        <v>0</v>
      </c>
      <c r="H6" s="63">
        <f t="shared" si="5"/>
        <v>0</v>
      </c>
      <c r="I6" t="s">
        <v>317</v>
      </c>
      <c r="M6" t="s">
        <v>227</v>
      </c>
      <c r="N6" t="s">
        <v>338</v>
      </c>
      <c r="O6" t="str">
        <f t="shared" si="8"/>
        <v>nein</v>
      </c>
      <c r="P6" t="str">
        <f t="shared" si="6"/>
        <v/>
      </c>
      <c r="V6" s="173" t="str">
        <f t="shared" si="7"/>
        <v/>
      </c>
      <c r="W6" t="s">
        <v>329</v>
      </c>
      <c r="X6">
        <v>3</v>
      </c>
      <c r="Y6">
        <v>2</v>
      </c>
      <c r="Z6" t="str">
        <f>IFERROR(IF(AND($T$3&gt;=$X$6,$S$3&gt;=$Y$6),"Var.4; ",""),"")</f>
        <v/>
      </c>
      <c r="AB6" s="184" t="s">
        <v>162</v>
      </c>
      <c r="AD6" t="s">
        <v>96</v>
      </c>
      <c r="AE6" t="s">
        <v>535</v>
      </c>
      <c r="AF6">
        <v>0.85</v>
      </c>
      <c r="AG6">
        <v>0.87</v>
      </c>
      <c r="AH6" t="s">
        <v>853</v>
      </c>
    </row>
    <row r="7" spans="1:34" ht="21.75" customHeight="1" thickBot="1" x14ac:dyDescent="0.25">
      <c r="A7" s="182" t="s">
        <v>829</v>
      </c>
      <c r="B7" s="57">
        <f>'Begr.-Rechner BIO'!$B8</f>
        <v>2.5099999999999998</v>
      </c>
      <c r="C7" s="66">
        <f>'Begr.-Rechner BIO'!C8</f>
        <v>60</v>
      </c>
      <c r="D7" s="16">
        <f t="shared" si="0"/>
        <v>150.6</v>
      </c>
      <c r="E7" s="145">
        <f>'Begr.-Rechner BIO'!E8</f>
        <v>0</v>
      </c>
      <c r="F7" s="67">
        <f t="shared" si="3"/>
        <v>0</v>
      </c>
      <c r="G7" s="68">
        <f t="shared" si="4"/>
        <v>0</v>
      </c>
      <c r="H7" s="63">
        <f t="shared" si="5"/>
        <v>0</v>
      </c>
      <c r="I7" t="s">
        <v>318</v>
      </c>
      <c r="M7" t="s">
        <v>227</v>
      </c>
      <c r="N7" t="s">
        <v>338</v>
      </c>
      <c r="O7" t="str">
        <f t="shared" si="8"/>
        <v>nein</v>
      </c>
      <c r="P7" t="str">
        <f t="shared" si="6"/>
        <v/>
      </c>
      <c r="Q7" s="258" t="s">
        <v>852</v>
      </c>
      <c r="R7" s="329">
        <f>'Begr.-Rechner BIO'!L6</f>
        <v>0</v>
      </c>
      <c r="S7" s="258" t="s">
        <v>854</v>
      </c>
      <c r="T7" s="329" t="e">
        <f>VLOOKUP($R$7,$AE$4:$AH$10,4,0)</f>
        <v>#N/A</v>
      </c>
      <c r="V7" s="173" t="str">
        <f t="shared" si="7"/>
        <v/>
      </c>
      <c r="W7" t="s">
        <v>330</v>
      </c>
      <c r="X7">
        <v>3</v>
      </c>
      <c r="Y7">
        <v>2</v>
      </c>
      <c r="Z7" t="str">
        <f>IFERROR(IF(AND($T$3&gt;=$X$7,$S$3&gt;=$Y$7),"Var.5; ",""),"")</f>
        <v/>
      </c>
      <c r="AB7" s="184" t="s">
        <v>372</v>
      </c>
      <c r="AD7" t="s">
        <v>461</v>
      </c>
      <c r="AE7" t="s">
        <v>536</v>
      </c>
      <c r="AF7">
        <v>1</v>
      </c>
      <c r="AG7">
        <v>0.87</v>
      </c>
      <c r="AH7" t="s">
        <v>853</v>
      </c>
    </row>
    <row r="8" spans="1:34" ht="21.75" customHeight="1" thickBot="1" x14ac:dyDescent="0.25">
      <c r="A8" s="182" t="s">
        <v>828</v>
      </c>
      <c r="B8" s="57">
        <f>'Begr.-Rechner BIO'!$B9</f>
        <v>2.68</v>
      </c>
      <c r="C8" s="66">
        <f>'Begr.-Rechner BIO'!C9</f>
        <v>60</v>
      </c>
      <c r="D8" s="16">
        <f t="shared" si="0"/>
        <v>160.80000000000001</v>
      </c>
      <c r="E8" s="145">
        <f>'Begr.-Rechner BIO'!E9</f>
        <v>0</v>
      </c>
      <c r="F8" s="67">
        <f t="shared" si="3"/>
        <v>0</v>
      </c>
      <c r="G8" s="68">
        <f t="shared" si="4"/>
        <v>0</v>
      </c>
      <c r="H8" s="63">
        <f t="shared" si="5"/>
        <v>0</v>
      </c>
      <c r="I8" t="s">
        <v>318</v>
      </c>
      <c r="M8" t="s">
        <v>227</v>
      </c>
      <c r="N8" t="s">
        <v>338</v>
      </c>
      <c r="O8" t="str">
        <f t="shared" si="8"/>
        <v>nein</v>
      </c>
      <c r="P8" t="str">
        <f t="shared" si="6"/>
        <v/>
      </c>
      <c r="Q8" s="254" t="s">
        <v>530</v>
      </c>
      <c r="R8" s="255"/>
      <c r="S8" s="256"/>
      <c r="T8" s="258" t="s">
        <v>542</v>
      </c>
      <c r="U8" s="259" t="s">
        <v>543</v>
      </c>
      <c r="V8" s="257" t="str">
        <f t="shared" si="7"/>
        <v/>
      </c>
      <c r="W8" t="s">
        <v>331</v>
      </c>
      <c r="X8" s="162"/>
      <c r="Y8" s="162"/>
      <c r="Z8" t="str">
        <f>IFERROR(IF($R$3="ja","Var. 6 *",""),"")</f>
        <v/>
      </c>
      <c r="AB8" s="184" t="s">
        <v>318</v>
      </c>
      <c r="AD8" t="s">
        <v>462</v>
      </c>
      <c r="AE8" t="s">
        <v>539</v>
      </c>
      <c r="AF8">
        <v>0.5</v>
      </c>
      <c r="AG8">
        <v>0.91</v>
      </c>
      <c r="AH8" t="s">
        <v>140</v>
      </c>
    </row>
    <row r="9" spans="1:34" ht="21.75" customHeight="1" thickBot="1" x14ac:dyDescent="0.25">
      <c r="A9" s="182" t="s">
        <v>92</v>
      </c>
      <c r="B9" s="57">
        <f>'Begr.-Rechner BIO'!$B10</f>
        <v>3.74</v>
      </c>
      <c r="C9" s="66">
        <f>'Begr.-Rechner BIO'!C10</f>
        <v>40</v>
      </c>
      <c r="D9" s="16">
        <f t="shared" si="0"/>
        <v>149.60000000000002</v>
      </c>
      <c r="E9" s="145">
        <f>'Begr.-Rechner BIO'!E10</f>
        <v>0</v>
      </c>
      <c r="F9" s="67">
        <f t="shared" si="3"/>
        <v>0</v>
      </c>
      <c r="G9" s="68">
        <f t="shared" si="4"/>
        <v>0</v>
      </c>
      <c r="H9" s="63">
        <f t="shared" si="5"/>
        <v>0</v>
      </c>
      <c r="I9" t="s">
        <v>162</v>
      </c>
      <c r="M9" t="s">
        <v>227</v>
      </c>
      <c r="N9" t="s">
        <v>227</v>
      </c>
      <c r="O9" t="str">
        <f t="shared" ref="O9:O25" si="9">IF(E9&gt;0,"ja","nein")</f>
        <v>nein</v>
      </c>
      <c r="P9" t="str">
        <f t="shared" si="6"/>
        <v/>
      </c>
      <c r="Q9" s="254">
        <f>IF(OR(J2=0,AND(J2&gt;0,K4="0 %")),80,IF(AND(J2&gt;0,K4&gt;0),40,""))</f>
        <v>80</v>
      </c>
      <c r="R9" s="255">
        <f>IFERROR(IF('Begr.-Rechner BIO'!$L$6&lt;&gt;"",VLOOKUP('Begr.-Rechner BIO'!$L$6,'BIO (2)'!$AE$4:$AG$10,2,0),1),"")</f>
        <v>1</v>
      </c>
      <c r="S9" s="256">
        <f>IFERROR(IF('Begr.-Rechner BIO'!$L$6&lt;&gt;"",VLOOKUP('Begr.-Rechner BIO'!$L$6,'BIO (2)'!$AE$4:$AG$10,3,0),1),"")</f>
        <v>1</v>
      </c>
      <c r="T9">
        <f>IF('Begr.-Rechner BIO'!$L$6&lt;&gt;"",ROUND('BIO (2)'!Q9/'BIO (2)'!R9/'BIO (2)'!S9,1),60)</f>
        <v>60</v>
      </c>
      <c r="U9" s="151" t="str">
        <f>IF('Begr.-Rechner BIO'!$L$6&lt;&gt;"",Q9,"")</f>
        <v/>
      </c>
      <c r="V9" s="257" t="str">
        <f t="shared" si="7"/>
        <v/>
      </c>
      <c r="W9" t="s">
        <v>467</v>
      </c>
      <c r="X9">
        <v>3</v>
      </c>
      <c r="Y9">
        <v>2</v>
      </c>
      <c r="Z9" t="str">
        <f>IFERROR(IF(AND($T$3&gt;=$X$9,$S$3&gt;=$Y$9),"Var.7",""),"")</f>
        <v/>
      </c>
      <c r="AB9" s="184" t="s">
        <v>319</v>
      </c>
      <c r="AD9" t="s">
        <v>407</v>
      </c>
      <c r="AE9" t="s">
        <v>540</v>
      </c>
      <c r="AF9">
        <v>0.1</v>
      </c>
      <c r="AG9">
        <v>0.91</v>
      </c>
      <c r="AH9" t="s">
        <v>140</v>
      </c>
    </row>
    <row r="10" spans="1:34" ht="21.75" customHeight="1" thickBot="1" x14ac:dyDescent="0.25">
      <c r="A10" s="182" t="s">
        <v>12</v>
      </c>
      <c r="B10" s="57">
        <f>'Begr.-Rechner BIO'!$B11</f>
        <v>8</v>
      </c>
      <c r="C10" s="66">
        <f>'Begr.-Rechner BIO'!C11</f>
        <v>30</v>
      </c>
      <c r="D10" s="16">
        <f t="shared" si="0"/>
        <v>240</v>
      </c>
      <c r="E10" s="145">
        <f>'Begr.-Rechner BIO'!E11</f>
        <v>0</v>
      </c>
      <c r="F10" s="67">
        <f t="shared" si="3"/>
        <v>0</v>
      </c>
      <c r="G10" s="68">
        <f t="shared" si="4"/>
        <v>0</v>
      </c>
      <c r="H10" s="63">
        <f t="shared" si="5"/>
        <v>0</v>
      </c>
      <c r="I10" t="s">
        <v>162</v>
      </c>
      <c r="M10" t="s">
        <v>227</v>
      </c>
      <c r="N10" t="s">
        <v>227</v>
      </c>
      <c r="O10" t="str">
        <f t="shared" si="9"/>
        <v>nein</v>
      </c>
      <c r="P10" t="str">
        <f t="shared" si="6"/>
        <v/>
      </c>
      <c r="Q10" s="150">
        <f>IF(OR(J2=0,AND(J2&gt;0,K4="0 %")),70,IF(AND(J2&gt;0,K4&gt;0),30,""))</f>
        <v>70</v>
      </c>
      <c r="R10">
        <f>IFERROR(IF('Begr.-Rechner BIO'!$L$6&lt;&gt;"",VLOOKUP('Begr.-Rechner BIO'!$L$6,'BIO (2)'!$AE$4:$AG$10,2,0),1),"")</f>
        <v>1</v>
      </c>
      <c r="S10" s="151">
        <f>IFERROR(IF('Begr.-Rechner BIO'!$L$6&lt;&gt;"",VLOOKUP('Begr.-Rechner BIO'!$L$6,'BIO (2)'!$AE$4:$AG$10,3,0),1),"")</f>
        <v>1</v>
      </c>
      <c r="T10">
        <f>IF('Begr.-Rechner BIO'!$L$6&lt;&gt;"",ROUND('BIO (2)'!Q10/'BIO (2)'!R10/'BIO (2)'!S10,1),60)</f>
        <v>60</v>
      </c>
      <c r="U10" s="151" t="str">
        <f>IF('Begr.-Rechner BIO'!$L$6&lt;&gt;"",Q10,"")</f>
        <v/>
      </c>
      <c r="V10" s="257" t="str">
        <f t="shared" si="7"/>
        <v/>
      </c>
      <c r="Z10" t="str">
        <f>IF(AND($Z3="",Z4="",Z5="",Z6="",Z7="",Z8=""),"keine ÖPUL Konformität gegeben","")</f>
        <v>keine ÖPUL Konformität gegeben</v>
      </c>
      <c r="AB10" s="184" t="s">
        <v>120</v>
      </c>
      <c r="AE10" t="s">
        <v>541</v>
      </c>
      <c r="AF10">
        <v>0.3</v>
      </c>
      <c r="AG10">
        <v>0.91</v>
      </c>
      <c r="AH10" t="s">
        <v>140</v>
      </c>
    </row>
    <row r="11" spans="1:34" ht="21.75" customHeight="1" thickBot="1" x14ac:dyDescent="0.25">
      <c r="A11" s="182" t="s">
        <v>470</v>
      </c>
      <c r="B11" s="57">
        <f>'Begr.-Rechner BIO'!$B12</f>
        <v>6.58</v>
      </c>
      <c r="C11" s="66">
        <f>'Begr.-Rechner BIO'!C12</f>
        <v>180</v>
      </c>
      <c r="D11" s="16">
        <f t="shared" si="0"/>
        <v>1184.4000000000001</v>
      </c>
      <c r="E11" s="145">
        <f>'Begr.-Rechner BIO'!E12</f>
        <v>0</v>
      </c>
      <c r="F11" s="67">
        <f t="shared" si="3"/>
        <v>0</v>
      </c>
      <c r="G11" s="68">
        <f t="shared" si="4"/>
        <v>0</v>
      </c>
      <c r="H11" s="63">
        <f t="shared" si="5"/>
        <v>0</v>
      </c>
      <c r="I11" t="s">
        <v>317</v>
      </c>
      <c r="M11" t="s">
        <v>227</v>
      </c>
      <c r="N11" t="s">
        <v>338</v>
      </c>
      <c r="O11" t="str">
        <f t="shared" si="9"/>
        <v>nein</v>
      </c>
      <c r="P11" t="str">
        <f t="shared" si="6"/>
        <v/>
      </c>
      <c r="Q11" s="152">
        <v>60</v>
      </c>
      <c r="R11" s="153">
        <f>IFERROR(IF('Begr.-Rechner BIO'!$L$6&lt;&gt;"",VLOOKUP('Begr.-Rechner BIO'!$L$6,'BIO (2)'!$AE$4:$AG$10,2,0),1),"")</f>
        <v>1</v>
      </c>
      <c r="S11" s="154">
        <f>IFERROR(IF('Begr.-Rechner BIO'!$L$6&lt;&gt;"",VLOOKUP('Begr.-Rechner BIO'!$L$6,'BIO (2)'!$AE$4:$AG$10,3,0),1),"")</f>
        <v>1</v>
      </c>
      <c r="T11" s="153">
        <f>IF('Begr.-Rechner BIO'!$L$6&lt;&gt;"",Q11,60)</f>
        <v>60</v>
      </c>
      <c r="U11" s="154" t="str">
        <f>IF('Begr.-Rechner BIO'!$L$6&lt;&gt;"",ROUND('BIO (2)'!Q11*'BIO (2)'!R11*'BIO (2)'!S11,1),"")</f>
        <v/>
      </c>
      <c r="V11" s="257" t="str">
        <f t="shared" si="7"/>
        <v/>
      </c>
      <c r="AB11" s="184" t="s">
        <v>317</v>
      </c>
    </row>
    <row r="12" spans="1:34" ht="29.25" thickBot="1" x14ac:dyDescent="0.25">
      <c r="A12" s="182" t="s">
        <v>313</v>
      </c>
      <c r="B12" s="57">
        <f>'Begr.-Rechner BIO'!$B13</f>
        <v>1.49</v>
      </c>
      <c r="C12" s="66">
        <f>'Begr.-Rechner BIO'!C13</f>
        <v>160</v>
      </c>
      <c r="D12" s="16">
        <f t="shared" si="0"/>
        <v>238.4</v>
      </c>
      <c r="E12" s="145">
        <f>'Begr.-Rechner BIO'!E13</f>
        <v>0</v>
      </c>
      <c r="F12" s="67">
        <f t="shared" si="3"/>
        <v>0</v>
      </c>
      <c r="G12" s="68">
        <f t="shared" si="4"/>
        <v>0</v>
      </c>
      <c r="H12" s="63">
        <f t="shared" si="5"/>
        <v>0</v>
      </c>
      <c r="I12" t="s">
        <v>317</v>
      </c>
      <c r="M12" t="s">
        <v>227</v>
      </c>
      <c r="N12" t="s">
        <v>338</v>
      </c>
      <c r="O12" t="str">
        <f t="shared" si="9"/>
        <v>nein</v>
      </c>
      <c r="P12" t="str">
        <f t="shared" si="6"/>
        <v/>
      </c>
      <c r="S12" s="162" t="s">
        <v>544</v>
      </c>
      <c r="T12">
        <f>IFERROR(IF(T7="langsam",T10,IF(T7="leicht",MIN($T$10:$T$11),T11)),T11)</f>
        <v>60</v>
      </c>
      <c r="U12" t="str">
        <f>IFERROR(IF(T7="langsam",U10,IF(T7="leicht",MIN($U$10:$U$11),U11)),"")</f>
        <v/>
      </c>
      <c r="V12" s="173" t="str">
        <f t="shared" si="7"/>
        <v/>
      </c>
      <c r="AB12" s="184" t="s">
        <v>373</v>
      </c>
    </row>
    <row r="13" spans="1:34" ht="43.5" thickBot="1" x14ac:dyDescent="0.25">
      <c r="A13" s="182" t="s">
        <v>819</v>
      </c>
      <c r="B13" s="57">
        <f>'Begr.-Rechner BIO'!$B14</f>
        <v>8.5250000000000004</v>
      </c>
      <c r="C13" s="66">
        <f>'Begr.-Rechner BIO'!C14</f>
        <v>30</v>
      </c>
      <c r="D13" s="16">
        <f t="shared" si="0"/>
        <v>255.75</v>
      </c>
      <c r="E13" s="145">
        <f>'Begr.-Rechner BIO'!E14</f>
        <v>0</v>
      </c>
      <c r="F13" s="67">
        <f t="shared" si="3"/>
        <v>0</v>
      </c>
      <c r="G13" s="68">
        <f t="shared" si="4"/>
        <v>0</v>
      </c>
      <c r="H13" s="63">
        <f t="shared" si="5"/>
        <v>0</v>
      </c>
      <c r="I13" t="s">
        <v>317</v>
      </c>
      <c r="M13" t="s">
        <v>227</v>
      </c>
      <c r="N13" t="s">
        <v>338</v>
      </c>
      <c r="O13" t="str">
        <f t="shared" si="9"/>
        <v>nein</v>
      </c>
      <c r="P13" t="str">
        <f t="shared" si="6"/>
        <v/>
      </c>
      <c r="S13" s="162" t="s">
        <v>545</v>
      </c>
      <c r="T13">
        <f>IFERROR(IF(T7="langsam",T9,IF(T7="leicht",MIN(T11,T9),T11)),T11)</f>
        <v>60</v>
      </c>
      <c r="U13" t="str">
        <f>IFERROR(IF(T7="langsam",U9,IF(T7="leicht",MIN(U11,U9),U11)),"")</f>
        <v/>
      </c>
      <c r="V13" s="173" t="str">
        <f t="shared" si="7"/>
        <v/>
      </c>
      <c r="AB13" s="184" t="s">
        <v>321</v>
      </c>
    </row>
    <row r="14" spans="1:34" ht="21.75" customHeight="1" thickBot="1" x14ac:dyDescent="0.25">
      <c r="A14" s="182" t="s">
        <v>830</v>
      </c>
      <c r="B14" s="57">
        <f>'Begr.-Rechner BIO'!$B15</f>
        <v>4.25</v>
      </c>
      <c r="C14" s="66">
        <f>'Begr.-Rechner BIO'!C15</f>
        <v>15</v>
      </c>
      <c r="D14" s="16">
        <f t="shared" si="0"/>
        <v>63.75</v>
      </c>
      <c r="E14" s="145">
        <f>'Begr.-Rechner BIO'!E15</f>
        <v>0</v>
      </c>
      <c r="F14" s="67">
        <f t="shared" si="3"/>
        <v>0</v>
      </c>
      <c r="G14" s="68">
        <f t="shared" si="4"/>
        <v>0</v>
      </c>
      <c r="H14" s="63">
        <f t="shared" si="5"/>
        <v>0</v>
      </c>
      <c r="I14" t="s">
        <v>162</v>
      </c>
      <c r="M14" t="s">
        <v>227</v>
      </c>
      <c r="N14" t="s">
        <v>227</v>
      </c>
      <c r="O14" t="str">
        <f t="shared" si="9"/>
        <v>nein</v>
      </c>
      <c r="P14" t="str">
        <f t="shared" si="6"/>
        <v/>
      </c>
      <c r="V14" s="173" t="str">
        <f t="shared" si="7"/>
        <v/>
      </c>
      <c r="AB14" s="184" t="s">
        <v>320</v>
      </c>
    </row>
    <row r="15" spans="1:34" ht="21.75" customHeight="1" thickBot="1" x14ac:dyDescent="0.25">
      <c r="A15" s="182" t="s">
        <v>820</v>
      </c>
      <c r="B15" s="57">
        <f>'Begr.-Rechner BIO'!$B16</f>
        <v>17.11</v>
      </c>
      <c r="C15" s="66">
        <f>'Begr.-Rechner BIO'!C16</f>
        <v>20</v>
      </c>
      <c r="D15" s="16">
        <f t="shared" si="0"/>
        <v>342.2</v>
      </c>
      <c r="E15" s="145">
        <f>'Begr.-Rechner BIO'!E16</f>
        <v>0</v>
      </c>
      <c r="F15" s="67">
        <f t="shared" si="3"/>
        <v>0</v>
      </c>
      <c r="G15" s="68">
        <f t="shared" si="4"/>
        <v>0</v>
      </c>
      <c r="H15" s="63">
        <f t="shared" si="5"/>
        <v>0</v>
      </c>
      <c r="I15" t="s">
        <v>317</v>
      </c>
      <c r="M15" t="s">
        <v>227</v>
      </c>
      <c r="N15" t="s">
        <v>338</v>
      </c>
      <c r="O15" t="str">
        <f t="shared" si="9"/>
        <v>nein</v>
      </c>
      <c r="P15" t="str">
        <f t="shared" si="6"/>
        <v/>
      </c>
      <c r="V15" s="173" t="str">
        <f t="shared" si="7"/>
        <v/>
      </c>
      <c r="AB15" s="302" t="s">
        <v>456</v>
      </c>
    </row>
    <row r="16" spans="1:34" ht="21.75" customHeight="1" thickBot="1" x14ac:dyDescent="0.25">
      <c r="A16" s="182" t="s">
        <v>17</v>
      </c>
      <c r="B16" s="57">
        <f>'Begr.-Rechner BIO'!$B17</f>
        <v>4.99</v>
      </c>
      <c r="C16" s="66">
        <f>'Begr.-Rechner BIO'!C17</f>
        <v>30</v>
      </c>
      <c r="D16" s="16">
        <f t="shared" si="0"/>
        <v>149.70000000000002</v>
      </c>
      <c r="E16" s="145">
        <f>'Begr.-Rechner BIO'!E17</f>
        <v>0</v>
      </c>
      <c r="F16" s="67">
        <f t="shared" si="3"/>
        <v>0</v>
      </c>
      <c r="G16" s="68">
        <f t="shared" si="4"/>
        <v>0</v>
      </c>
      <c r="H16" s="63">
        <f t="shared" si="5"/>
        <v>0</v>
      </c>
      <c r="I16" t="s">
        <v>317</v>
      </c>
      <c r="M16" t="s">
        <v>227</v>
      </c>
      <c r="N16" t="s">
        <v>338</v>
      </c>
      <c r="O16" t="str">
        <f t="shared" si="9"/>
        <v>nein</v>
      </c>
      <c r="P16" t="str">
        <f t="shared" si="6"/>
        <v/>
      </c>
      <c r="V16" s="173" t="str">
        <f t="shared" si="7"/>
        <v/>
      </c>
    </row>
    <row r="17" spans="1:22" ht="21.75" customHeight="1" thickBot="1" x14ac:dyDescent="0.25">
      <c r="A17" s="182" t="s">
        <v>398</v>
      </c>
      <c r="B17" s="57">
        <f>'Begr.-Rechner BIO'!$B18</f>
        <v>3.21</v>
      </c>
      <c r="C17" s="66">
        <f>'Begr.-Rechner BIO'!C18</f>
        <v>40</v>
      </c>
      <c r="D17" s="16">
        <f t="shared" si="0"/>
        <v>128.4</v>
      </c>
      <c r="E17" s="145">
        <f>'Begr.-Rechner BIO'!E18</f>
        <v>0</v>
      </c>
      <c r="F17" s="67">
        <f t="shared" si="3"/>
        <v>0</v>
      </c>
      <c r="G17" s="68">
        <f t="shared" si="4"/>
        <v>0</v>
      </c>
      <c r="H17" s="63">
        <f t="shared" si="5"/>
        <v>0</v>
      </c>
      <c r="I17" t="s">
        <v>162</v>
      </c>
      <c r="M17" t="s">
        <v>227</v>
      </c>
      <c r="N17" t="s">
        <v>227</v>
      </c>
      <c r="O17" t="str">
        <f t="shared" si="9"/>
        <v>nein</v>
      </c>
      <c r="P17" t="str">
        <f t="shared" si="6"/>
        <v/>
      </c>
      <c r="V17" s="173" t="str">
        <f t="shared" si="7"/>
        <v/>
      </c>
    </row>
    <row r="18" spans="1:22" ht="21.75" customHeight="1" thickBot="1" x14ac:dyDescent="0.25">
      <c r="A18" s="182" t="s">
        <v>18</v>
      </c>
      <c r="B18" s="57">
        <f>'Begr.-Rechner BIO'!$B19</f>
        <v>11.61</v>
      </c>
      <c r="C18" s="66">
        <f>'Begr.-Rechner BIO'!C19</f>
        <v>10</v>
      </c>
      <c r="D18" s="16">
        <f t="shared" si="0"/>
        <v>116.1</v>
      </c>
      <c r="E18" s="145">
        <f>'Begr.-Rechner BIO'!E19</f>
        <v>0</v>
      </c>
      <c r="F18" s="67">
        <f t="shared" si="3"/>
        <v>0</v>
      </c>
      <c r="G18" s="68">
        <f t="shared" si="4"/>
        <v>0</v>
      </c>
      <c r="H18" s="63">
        <f t="shared" si="5"/>
        <v>0</v>
      </c>
      <c r="I18" t="s">
        <v>120</v>
      </c>
      <c r="M18" t="s">
        <v>227</v>
      </c>
      <c r="N18" t="s">
        <v>338</v>
      </c>
      <c r="O18" t="str">
        <f t="shared" si="9"/>
        <v>nein</v>
      </c>
      <c r="P18" t="str">
        <f t="shared" si="6"/>
        <v/>
      </c>
      <c r="V18" s="173" t="str">
        <f t="shared" si="7"/>
        <v/>
      </c>
    </row>
    <row r="19" spans="1:22" ht="21.75" customHeight="1" thickBot="1" x14ac:dyDescent="0.25">
      <c r="A19" s="182" t="s">
        <v>810</v>
      </c>
      <c r="B19" s="57">
        <f>'Begr.-Rechner BIO'!$B20</f>
        <v>11.61</v>
      </c>
      <c r="C19" s="66">
        <f>'Begr.-Rechner BIO'!C20</f>
        <v>10</v>
      </c>
      <c r="D19" s="16">
        <f t="shared" si="0"/>
        <v>116.1</v>
      </c>
      <c r="E19" s="145">
        <f>'Begr.-Rechner BIO'!E20</f>
        <v>0</v>
      </c>
      <c r="F19" s="67">
        <f t="shared" si="3"/>
        <v>0</v>
      </c>
      <c r="G19" s="68">
        <f t="shared" si="4"/>
        <v>0</v>
      </c>
      <c r="H19" s="63">
        <f t="shared" si="5"/>
        <v>0</v>
      </c>
      <c r="I19" t="s">
        <v>120</v>
      </c>
      <c r="M19" t="s">
        <v>227</v>
      </c>
      <c r="N19" t="s">
        <v>338</v>
      </c>
      <c r="O19" t="str">
        <f t="shared" si="9"/>
        <v>nein</v>
      </c>
      <c r="P19" t="str">
        <f t="shared" si="6"/>
        <v/>
      </c>
      <c r="V19" s="173" t="str">
        <f t="shared" si="7"/>
        <v/>
      </c>
    </row>
    <row r="20" spans="1:22" ht="21.75" customHeight="1" thickBot="1" x14ac:dyDescent="0.25">
      <c r="A20" s="182" t="s">
        <v>822</v>
      </c>
      <c r="B20" s="57">
        <f>'Begr.-Rechner BIO'!$B21</f>
        <v>12.05</v>
      </c>
      <c r="C20" s="66">
        <f>'Begr.-Rechner BIO'!C21</f>
        <v>12</v>
      </c>
      <c r="D20" s="16">
        <f t="shared" si="0"/>
        <v>144.60000000000002</v>
      </c>
      <c r="E20" s="145">
        <f>'Begr.-Rechner BIO'!E21</f>
        <v>0</v>
      </c>
      <c r="F20" s="67">
        <f t="shared" si="3"/>
        <v>0</v>
      </c>
      <c r="G20" s="68">
        <f t="shared" si="4"/>
        <v>0</v>
      </c>
      <c r="H20" s="63">
        <f t="shared" si="5"/>
        <v>0</v>
      </c>
      <c r="I20" t="s">
        <v>321</v>
      </c>
      <c r="M20" t="s">
        <v>227</v>
      </c>
      <c r="N20" t="s">
        <v>338</v>
      </c>
      <c r="O20" t="str">
        <f t="shared" si="9"/>
        <v>nein</v>
      </c>
      <c r="P20" t="str">
        <f t="shared" si="6"/>
        <v/>
      </c>
      <c r="V20" s="173" t="str">
        <f t="shared" si="7"/>
        <v/>
      </c>
    </row>
    <row r="21" spans="1:22" ht="21.75" customHeight="1" thickBot="1" x14ac:dyDescent="0.25">
      <c r="A21" s="182" t="s">
        <v>20</v>
      </c>
      <c r="B21" s="57">
        <f>'Begr.-Rechner BIO'!$B22</f>
        <v>8.74</v>
      </c>
      <c r="C21" s="66">
        <f>'Begr.-Rechner BIO'!C22</f>
        <v>10</v>
      </c>
      <c r="D21" s="16">
        <f t="shared" si="0"/>
        <v>87.4</v>
      </c>
      <c r="E21" s="145">
        <f>'Begr.-Rechner BIO'!E22</f>
        <v>0</v>
      </c>
      <c r="F21" s="67">
        <f t="shared" si="3"/>
        <v>0</v>
      </c>
      <c r="G21" s="68">
        <f t="shared" si="4"/>
        <v>0</v>
      </c>
      <c r="H21" s="63">
        <f t="shared" si="5"/>
        <v>0</v>
      </c>
      <c r="I21" t="s">
        <v>120</v>
      </c>
      <c r="M21" t="s">
        <v>227</v>
      </c>
      <c r="N21" t="s">
        <v>338</v>
      </c>
      <c r="O21" t="str">
        <f t="shared" si="9"/>
        <v>nein</v>
      </c>
      <c r="P21" t="str">
        <f t="shared" si="6"/>
        <v/>
      </c>
      <c r="V21" s="173" t="str">
        <f t="shared" si="7"/>
        <v/>
      </c>
    </row>
    <row r="22" spans="1:22" ht="21.75" customHeight="1" thickBot="1" x14ac:dyDescent="0.25">
      <c r="A22" s="182" t="s">
        <v>475</v>
      </c>
      <c r="B22" s="57">
        <f>'Begr.-Rechner BIO'!$B23</f>
        <v>4.91</v>
      </c>
      <c r="C22" s="66">
        <f>'Begr.-Rechner BIO'!C23</f>
        <v>80</v>
      </c>
      <c r="D22" s="16">
        <f t="shared" si="0"/>
        <v>392.8</v>
      </c>
      <c r="E22" s="145">
        <f>'Begr.-Rechner BIO'!E23</f>
        <v>0</v>
      </c>
      <c r="F22" s="67">
        <f t="shared" si="3"/>
        <v>0</v>
      </c>
      <c r="G22" s="68">
        <f t="shared" si="4"/>
        <v>0</v>
      </c>
      <c r="H22" s="63">
        <f t="shared" si="5"/>
        <v>0</v>
      </c>
      <c r="I22" t="s">
        <v>317</v>
      </c>
      <c r="M22" t="s">
        <v>227</v>
      </c>
      <c r="N22" t="s">
        <v>338</v>
      </c>
      <c r="O22" t="str">
        <f t="shared" si="9"/>
        <v>nein</v>
      </c>
      <c r="P22" t="str">
        <f t="shared" si="6"/>
        <v/>
      </c>
      <c r="V22" s="173" t="str">
        <f t="shared" si="7"/>
        <v/>
      </c>
    </row>
    <row r="23" spans="1:22" ht="21.75" customHeight="1" thickBot="1" x14ac:dyDescent="0.25">
      <c r="A23" s="182" t="s">
        <v>22</v>
      </c>
      <c r="B23" s="57">
        <f>'Begr.-Rechner BIO'!$B24</f>
        <v>9.1750000000000007</v>
      </c>
      <c r="C23" s="66">
        <f>'Begr.-Rechner BIO'!C24</f>
        <v>25</v>
      </c>
      <c r="D23" s="16">
        <f t="shared" si="0"/>
        <v>229.37500000000003</v>
      </c>
      <c r="E23" s="145">
        <f>'Begr.-Rechner BIO'!E24</f>
        <v>0</v>
      </c>
      <c r="F23" s="67">
        <f t="shared" si="3"/>
        <v>0</v>
      </c>
      <c r="G23" s="68">
        <f t="shared" si="4"/>
        <v>0</v>
      </c>
      <c r="H23" s="63">
        <f t="shared" si="5"/>
        <v>0</v>
      </c>
      <c r="I23" t="s">
        <v>317</v>
      </c>
      <c r="M23" t="s">
        <v>227</v>
      </c>
      <c r="N23" t="s">
        <v>338</v>
      </c>
      <c r="O23" t="str">
        <f t="shared" si="9"/>
        <v>nein</v>
      </c>
      <c r="P23" t="str">
        <f t="shared" si="6"/>
        <v/>
      </c>
      <c r="V23" s="173" t="str">
        <f t="shared" si="7"/>
        <v/>
      </c>
    </row>
    <row r="24" spans="1:22" ht="21.75" customHeight="1" thickBot="1" x14ac:dyDescent="0.25">
      <c r="A24" s="182" t="s">
        <v>314</v>
      </c>
      <c r="B24" s="57">
        <f>'Begr.-Rechner BIO'!$B25</f>
        <v>9.15</v>
      </c>
      <c r="C24" s="66">
        <f>'Begr.-Rechner BIO'!C25</f>
        <v>8</v>
      </c>
      <c r="D24" s="16">
        <f t="shared" si="0"/>
        <v>73.2</v>
      </c>
      <c r="E24" s="145">
        <f>'Begr.-Rechner BIO'!E25</f>
        <v>0</v>
      </c>
      <c r="F24" s="67">
        <f t="shared" si="3"/>
        <v>0</v>
      </c>
      <c r="G24" s="68">
        <f t="shared" si="4"/>
        <v>0</v>
      </c>
      <c r="H24" s="63">
        <f t="shared" si="5"/>
        <v>0</v>
      </c>
      <c r="I24" t="s">
        <v>120</v>
      </c>
      <c r="M24" t="s">
        <v>227</v>
      </c>
      <c r="N24" t="s">
        <v>338</v>
      </c>
      <c r="O24" t="str">
        <f t="shared" si="9"/>
        <v>nein</v>
      </c>
      <c r="P24" t="str">
        <f t="shared" si="6"/>
        <v/>
      </c>
      <c r="V24" s="173" t="str">
        <f t="shared" si="7"/>
        <v/>
      </c>
    </row>
    <row r="25" spans="1:22" ht="21.75" customHeight="1" thickBot="1" x14ac:dyDescent="0.25">
      <c r="A25" s="182" t="s">
        <v>809</v>
      </c>
      <c r="B25" s="57">
        <f>'Begr.-Rechner BIO'!$B26</f>
        <v>9.15</v>
      </c>
      <c r="C25" s="66">
        <f>'Begr.-Rechner BIO'!C26</f>
        <v>8</v>
      </c>
      <c r="D25" s="16">
        <f t="shared" si="0"/>
        <v>73.2</v>
      </c>
      <c r="E25" s="145">
        <f>'Begr.-Rechner BIO'!E26</f>
        <v>0</v>
      </c>
      <c r="F25" s="67">
        <f t="shared" si="3"/>
        <v>0</v>
      </c>
      <c r="G25" s="68">
        <f t="shared" si="4"/>
        <v>0</v>
      </c>
      <c r="H25" s="63">
        <f t="shared" si="5"/>
        <v>0</v>
      </c>
      <c r="I25" t="s">
        <v>120</v>
      </c>
      <c r="M25" t="s">
        <v>227</v>
      </c>
      <c r="N25" t="s">
        <v>338</v>
      </c>
      <c r="O25" t="str">
        <f t="shared" si="9"/>
        <v>nein</v>
      </c>
      <c r="P25" t="str">
        <f t="shared" si="6"/>
        <v/>
      </c>
      <c r="V25" s="173" t="str">
        <f t="shared" si="7"/>
        <v/>
      </c>
    </row>
    <row r="26" spans="1:22" ht="30.75" thickBot="1" x14ac:dyDescent="0.25">
      <c r="A26" s="17" t="s">
        <v>1083</v>
      </c>
      <c r="B26" s="57">
        <f>'Begr.-Rechner BIO'!$B27</f>
        <v>3.74</v>
      </c>
      <c r="C26" s="66">
        <f>'Begr.-Rechner BIO'!C27</f>
        <v>10</v>
      </c>
      <c r="D26" s="16">
        <f t="shared" ref="D26:D57" si="10">IF(ISERROR(C26*B26),0,C26*B26)</f>
        <v>37.400000000000006</v>
      </c>
      <c r="E26" s="145">
        <f>'Begr.-Rechner BIO'!E27</f>
        <v>0</v>
      </c>
      <c r="F26" s="67">
        <f t="shared" si="3"/>
        <v>0</v>
      </c>
      <c r="G26" s="68">
        <f t="shared" si="4"/>
        <v>0</v>
      </c>
      <c r="H26" s="63">
        <f t="shared" si="5"/>
        <v>0</v>
      </c>
      <c r="I26" t="s">
        <v>319</v>
      </c>
      <c r="M26" t="s">
        <v>227</v>
      </c>
      <c r="N26" t="s">
        <v>338</v>
      </c>
      <c r="O26" t="str">
        <f t="shared" ref="O26:O57" si="11">IF(E26&gt;0,"ja","nein")</f>
        <v>nein</v>
      </c>
      <c r="P26" t="str">
        <f t="shared" si="6"/>
        <v/>
      </c>
      <c r="V26" s="173" t="str">
        <f t="shared" si="7"/>
        <v/>
      </c>
    </row>
    <row r="27" spans="1:22" ht="21.75" customHeight="1" thickBot="1" x14ac:dyDescent="0.25">
      <c r="A27" s="182" t="s">
        <v>315</v>
      </c>
      <c r="B27" s="57">
        <f>'Begr.-Rechner BIO'!$B28</f>
        <v>4.4399999999999995</v>
      </c>
      <c r="C27" s="66">
        <f>'Begr.-Rechner BIO'!C28</f>
        <v>25</v>
      </c>
      <c r="D27" s="16">
        <f t="shared" si="10"/>
        <v>110.99999999999999</v>
      </c>
      <c r="E27" s="145">
        <f>'Begr.-Rechner BIO'!E28</f>
        <v>0</v>
      </c>
      <c r="F27" s="67">
        <f t="shared" si="3"/>
        <v>0</v>
      </c>
      <c r="G27" s="68">
        <f t="shared" si="4"/>
        <v>0</v>
      </c>
      <c r="H27" s="63">
        <f t="shared" si="5"/>
        <v>0</v>
      </c>
      <c r="I27" t="s">
        <v>120</v>
      </c>
      <c r="M27" t="s">
        <v>227</v>
      </c>
      <c r="N27" t="s">
        <v>338</v>
      </c>
      <c r="O27" t="str">
        <f t="shared" si="11"/>
        <v>nein</v>
      </c>
      <c r="P27" t="str">
        <f t="shared" si="6"/>
        <v/>
      </c>
      <c r="V27" s="173" t="str">
        <f t="shared" si="7"/>
        <v/>
      </c>
    </row>
    <row r="28" spans="1:22" ht="21.75" customHeight="1" thickBot="1" x14ac:dyDescent="0.25">
      <c r="A28" s="182" t="s">
        <v>831</v>
      </c>
      <c r="B28" s="57">
        <f>'Begr.-Rechner BIO'!$B29</f>
        <v>7.48</v>
      </c>
      <c r="C28" s="66">
        <f>'Begr.-Rechner BIO'!C29</f>
        <v>25</v>
      </c>
      <c r="D28" s="16">
        <f t="shared" si="10"/>
        <v>187</v>
      </c>
      <c r="E28" s="145">
        <f>'Begr.-Rechner BIO'!E29</f>
        <v>0</v>
      </c>
      <c r="F28" s="67">
        <f t="shared" si="3"/>
        <v>0</v>
      </c>
      <c r="G28" s="68">
        <f t="shared" si="4"/>
        <v>0</v>
      </c>
      <c r="H28" s="63">
        <f t="shared" si="5"/>
        <v>0</v>
      </c>
      <c r="I28" t="s">
        <v>317</v>
      </c>
      <c r="M28" t="s">
        <v>227</v>
      </c>
      <c r="N28" t="s">
        <v>338</v>
      </c>
      <c r="O28" t="str">
        <f t="shared" si="11"/>
        <v>nein</v>
      </c>
      <c r="P28" t="str">
        <f t="shared" si="6"/>
        <v/>
      </c>
      <c r="V28" s="173" t="str">
        <f t="shared" si="7"/>
        <v/>
      </c>
    </row>
    <row r="29" spans="1:22" ht="21.75" customHeight="1" thickBot="1" x14ac:dyDescent="0.25">
      <c r="A29" s="182" t="s">
        <v>27</v>
      </c>
      <c r="B29" s="57">
        <f>'Begr.-Rechner BIO'!$B30</f>
        <v>5.73</v>
      </c>
      <c r="C29" s="66">
        <f>'Begr.-Rechner BIO'!C30</f>
        <v>12</v>
      </c>
      <c r="D29" s="16">
        <f t="shared" si="10"/>
        <v>68.760000000000005</v>
      </c>
      <c r="E29" s="145">
        <f>'Begr.-Rechner BIO'!E30</f>
        <v>0</v>
      </c>
      <c r="F29" s="67">
        <f t="shared" si="3"/>
        <v>0</v>
      </c>
      <c r="G29" s="68">
        <f t="shared" si="4"/>
        <v>0</v>
      </c>
      <c r="H29" s="63">
        <f t="shared" si="5"/>
        <v>0</v>
      </c>
      <c r="I29" t="s">
        <v>320</v>
      </c>
      <c r="M29" t="s">
        <v>227</v>
      </c>
      <c r="N29" t="s">
        <v>338</v>
      </c>
      <c r="O29" t="str">
        <f t="shared" si="11"/>
        <v>nein</v>
      </c>
      <c r="P29" t="str">
        <f t="shared" si="6"/>
        <v/>
      </c>
      <c r="V29" s="173" t="str">
        <f t="shared" si="7"/>
        <v/>
      </c>
    </row>
    <row r="30" spans="1:22" ht="21.75" customHeight="1" thickBot="1" x14ac:dyDescent="0.25">
      <c r="A30" s="182" t="s">
        <v>29</v>
      </c>
      <c r="B30" s="57">
        <f>'Begr.-Rechner BIO'!$B31</f>
        <v>3.3</v>
      </c>
      <c r="C30" s="66">
        <f>'Begr.-Rechner BIO'!C31</f>
        <v>160</v>
      </c>
      <c r="D30" s="16">
        <f t="shared" si="10"/>
        <v>528</v>
      </c>
      <c r="E30" s="145">
        <f>'Begr.-Rechner BIO'!E31</f>
        <v>0</v>
      </c>
      <c r="F30" s="67">
        <f t="shared" si="3"/>
        <v>0</v>
      </c>
      <c r="G30" s="68">
        <f t="shared" si="4"/>
        <v>0</v>
      </c>
      <c r="H30" s="63">
        <f t="shared" si="5"/>
        <v>0</v>
      </c>
      <c r="I30" t="s">
        <v>317</v>
      </c>
      <c r="M30" t="s">
        <v>227</v>
      </c>
      <c r="N30" t="s">
        <v>338</v>
      </c>
      <c r="O30" t="str">
        <f t="shared" si="11"/>
        <v>nein</v>
      </c>
      <c r="P30" t="str">
        <f t="shared" si="6"/>
        <v/>
      </c>
      <c r="V30" s="173" t="str">
        <f t="shared" si="7"/>
        <v/>
      </c>
    </row>
    <row r="31" spans="1:22" ht="21.75" customHeight="1" thickBot="1" x14ac:dyDescent="0.25">
      <c r="A31" s="182" t="s">
        <v>823</v>
      </c>
      <c r="B31" s="57">
        <f>'Begr.-Rechner BIO'!$B32</f>
        <v>21.96</v>
      </c>
      <c r="C31" s="66">
        <f>'Begr.-Rechner BIO'!C32</f>
        <v>12</v>
      </c>
      <c r="D31" s="16">
        <f t="shared" ref="D31:D50" si="12">IF(ISERROR(C31*B31),0,C31*B31)</f>
        <v>263.52</v>
      </c>
      <c r="E31" s="145"/>
      <c r="F31" s="67">
        <f t="shared" si="3"/>
        <v>0</v>
      </c>
      <c r="G31" s="68">
        <f t="shared" si="4"/>
        <v>0</v>
      </c>
      <c r="H31" s="63">
        <f t="shared" si="5"/>
        <v>0</v>
      </c>
      <c r="I31" t="s">
        <v>319</v>
      </c>
      <c r="M31" t="s">
        <v>227</v>
      </c>
      <c r="N31" t="s">
        <v>338</v>
      </c>
      <c r="O31" t="str">
        <f t="shared" si="11"/>
        <v>nein</v>
      </c>
      <c r="P31" t="str">
        <f t="shared" si="6"/>
        <v/>
      </c>
      <c r="V31" s="173"/>
    </row>
    <row r="32" spans="1:22" ht="21.75" customHeight="1" thickBot="1" x14ac:dyDescent="0.25">
      <c r="A32" s="182" t="s">
        <v>32</v>
      </c>
      <c r="B32" s="57">
        <f>'Begr.-Rechner BIO'!$B33</f>
        <v>9.0500000000000007</v>
      </c>
      <c r="C32" s="66">
        <f>'Begr.-Rechner BIO'!C33</f>
        <v>25</v>
      </c>
      <c r="D32" s="16">
        <f t="shared" si="12"/>
        <v>226.25000000000003</v>
      </c>
      <c r="E32" s="145"/>
      <c r="F32" s="67">
        <f t="shared" si="3"/>
        <v>0</v>
      </c>
      <c r="G32" s="68">
        <f t="shared" si="4"/>
        <v>0</v>
      </c>
      <c r="H32" s="63">
        <f t="shared" si="5"/>
        <v>0</v>
      </c>
      <c r="I32" t="s">
        <v>317</v>
      </c>
      <c r="M32" t="s">
        <v>227</v>
      </c>
      <c r="N32" t="s">
        <v>338</v>
      </c>
      <c r="O32" t="str">
        <f t="shared" si="11"/>
        <v>nein</v>
      </c>
      <c r="P32" t="str">
        <f t="shared" si="6"/>
        <v/>
      </c>
      <c r="V32" s="173"/>
    </row>
    <row r="33" spans="1:22" ht="21.75" customHeight="1" thickBot="1" x14ac:dyDescent="0.25">
      <c r="A33" s="182" t="s">
        <v>832</v>
      </c>
      <c r="B33" s="57">
        <f>'Begr.-Rechner BIO'!$B34</f>
        <v>2.13</v>
      </c>
      <c r="C33" s="66">
        <f>'Begr.-Rechner BIO'!C34</f>
        <v>110</v>
      </c>
      <c r="D33" s="16">
        <f t="shared" si="12"/>
        <v>234.29999999999998</v>
      </c>
      <c r="E33" s="145"/>
      <c r="F33" s="67">
        <f t="shared" si="3"/>
        <v>0</v>
      </c>
      <c r="G33" s="68">
        <f t="shared" si="4"/>
        <v>0</v>
      </c>
      <c r="H33" s="63">
        <f t="shared" si="5"/>
        <v>0</v>
      </c>
      <c r="I33" t="s">
        <v>317</v>
      </c>
      <c r="M33" t="s">
        <v>227</v>
      </c>
      <c r="N33" t="s">
        <v>338</v>
      </c>
      <c r="O33" t="str">
        <f t="shared" si="11"/>
        <v>nein</v>
      </c>
      <c r="P33" t="str">
        <f t="shared" si="6"/>
        <v/>
      </c>
      <c r="V33" s="173"/>
    </row>
    <row r="34" spans="1:22" ht="21.75" customHeight="1" thickBot="1" x14ac:dyDescent="0.25">
      <c r="A34" s="182" t="s">
        <v>833</v>
      </c>
      <c r="B34" s="57">
        <f>'Begr.-Rechner BIO'!$B35</f>
        <v>2.6850000000000001</v>
      </c>
      <c r="C34" s="66">
        <f>'Begr.-Rechner BIO'!C35</f>
        <v>130</v>
      </c>
      <c r="D34" s="16">
        <f t="shared" si="12"/>
        <v>349.05</v>
      </c>
      <c r="E34" s="145"/>
      <c r="F34" s="67">
        <f t="shared" si="3"/>
        <v>0</v>
      </c>
      <c r="G34" s="68">
        <f t="shared" si="4"/>
        <v>0</v>
      </c>
      <c r="H34" s="63">
        <f t="shared" si="5"/>
        <v>0</v>
      </c>
      <c r="I34" t="s">
        <v>317</v>
      </c>
      <c r="M34" t="s">
        <v>227</v>
      </c>
      <c r="N34" t="s">
        <v>338</v>
      </c>
      <c r="O34" t="str">
        <f t="shared" si="11"/>
        <v>nein</v>
      </c>
      <c r="P34" t="str">
        <f t="shared" si="6"/>
        <v/>
      </c>
      <c r="V34" s="173"/>
    </row>
    <row r="35" spans="1:22" ht="21.75" customHeight="1" thickBot="1" x14ac:dyDescent="0.25">
      <c r="A35" s="182" t="s">
        <v>813</v>
      </c>
      <c r="B35" s="57">
        <f>'Begr.-Rechner BIO'!$B36</f>
        <v>5.95</v>
      </c>
      <c r="C35" s="66">
        <f>'Begr.-Rechner BIO'!C36</f>
        <v>10</v>
      </c>
      <c r="D35" s="16">
        <f t="shared" si="12"/>
        <v>59.5</v>
      </c>
      <c r="E35" s="145"/>
      <c r="F35" s="67">
        <f t="shared" si="3"/>
        <v>0</v>
      </c>
      <c r="G35" s="68">
        <f t="shared" si="4"/>
        <v>0</v>
      </c>
      <c r="H35" s="63">
        <f t="shared" si="5"/>
        <v>0</v>
      </c>
      <c r="I35" t="s">
        <v>120</v>
      </c>
      <c r="M35" t="s">
        <v>227</v>
      </c>
      <c r="N35" t="s">
        <v>338</v>
      </c>
      <c r="O35" t="str">
        <f t="shared" si="11"/>
        <v>nein</v>
      </c>
      <c r="P35" t="str">
        <f t="shared" si="6"/>
        <v/>
      </c>
      <c r="V35" s="173"/>
    </row>
    <row r="36" spans="1:22" ht="21.75" customHeight="1" thickBot="1" x14ac:dyDescent="0.25">
      <c r="A36" s="182" t="s">
        <v>824</v>
      </c>
      <c r="B36" s="57">
        <f>'Begr.-Rechner BIO'!$B37</f>
        <v>2.19</v>
      </c>
      <c r="C36" s="66">
        <f>'Begr.-Rechner BIO'!C37</f>
        <v>20</v>
      </c>
      <c r="D36" s="16">
        <f t="shared" si="12"/>
        <v>43.8</v>
      </c>
      <c r="E36" s="145"/>
      <c r="F36" s="67">
        <f t="shared" si="3"/>
        <v>0</v>
      </c>
      <c r="G36" s="68">
        <f t="shared" si="4"/>
        <v>0</v>
      </c>
      <c r="H36" s="63">
        <f t="shared" si="5"/>
        <v>0</v>
      </c>
      <c r="I36" t="s">
        <v>317</v>
      </c>
      <c r="M36" t="s">
        <v>227</v>
      </c>
      <c r="N36" t="s">
        <v>338</v>
      </c>
      <c r="O36" t="str">
        <f t="shared" si="11"/>
        <v>nein</v>
      </c>
      <c r="P36" t="str">
        <f t="shared" si="6"/>
        <v/>
      </c>
      <c r="V36" s="173"/>
    </row>
    <row r="37" spans="1:22" ht="21.75" customHeight="1" thickBot="1" x14ac:dyDescent="0.25">
      <c r="A37" s="182" t="s">
        <v>36</v>
      </c>
      <c r="B37" s="57">
        <f>'Begr.-Rechner BIO'!$B38</f>
        <v>2.92</v>
      </c>
      <c r="C37" s="66">
        <f>'Begr.-Rechner BIO'!C38</f>
        <v>15</v>
      </c>
      <c r="D37" s="16">
        <f t="shared" si="12"/>
        <v>43.8</v>
      </c>
      <c r="E37" s="145"/>
      <c r="F37" s="67">
        <f t="shared" si="3"/>
        <v>0</v>
      </c>
      <c r="G37" s="68">
        <f t="shared" si="4"/>
        <v>0</v>
      </c>
      <c r="H37" s="63">
        <f t="shared" si="5"/>
        <v>0</v>
      </c>
      <c r="I37" t="s">
        <v>120</v>
      </c>
      <c r="M37" t="s">
        <v>227</v>
      </c>
      <c r="N37" t="s">
        <v>338</v>
      </c>
      <c r="O37" t="str">
        <f t="shared" si="11"/>
        <v>nein</v>
      </c>
      <c r="P37" t="str">
        <f t="shared" si="6"/>
        <v/>
      </c>
      <c r="V37" s="173"/>
    </row>
    <row r="38" spans="1:22" ht="21.75" customHeight="1" thickBot="1" x14ac:dyDescent="0.25">
      <c r="A38" s="182" t="s">
        <v>815</v>
      </c>
      <c r="B38" s="57">
        <f>'Begr.-Rechner BIO'!$B39</f>
        <v>3.08</v>
      </c>
      <c r="C38" s="66">
        <f>'Begr.-Rechner BIO'!C39</f>
        <v>15</v>
      </c>
      <c r="D38" s="16">
        <f t="shared" si="12"/>
        <v>46.2</v>
      </c>
      <c r="E38" s="145"/>
      <c r="F38" s="67">
        <f t="shared" si="3"/>
        <v>0</v>
      </c>
      <c r="G38" s="68">
        <f t="shared" si="4"/>
        <v>0</v>
      </c>
      <c r="H38" s="63">
        <f t="shared" si="5"/>
        <v>0</v>
      </c>
      <c r="I38" t="s">
        <v>120</v>
      </c>
      <c r="M38" t="s">
        <v>227</v>
      </c>
      <c r="N38" t="s">
        <v>338</v>
      </c>
      <c r="O38" t="str">
        <f t="shared" si="11"/>
        <v>nein</v>
      </c>
      <c r="P38" t="str">
        <f t="shared" si="6"/>
        <v/>
      </c>
      <c r="V38" s="173"/>
    </row>
    <row r="39" spans="1:22" ht="21.75" customHeight="1" thickBot="1" x14ac:dyDescent="0.25">
      <c r="A39" s="182" t="s">
        <v>825</v>
      </c>
      <c r="B39" s="57">
        <f>'Begr.-Rechner BIO'!$B40</f>
        <v>21.52</v>
      </c>
      <c r="C39" s="66">
        <f>'Begr.-Rechner BIO'!C40</f>
        <v>20</v>
      </c>
      <c r="D39" s="16">
        <f t="shared" si="12"/>
        <v>430.4</v>
      </c>
      <c r="E39" s="145"/>
      <c r="F39" s="67">
        <f t="shared" si="3"/>
        <v>0</v>
      </c>
      <c r="G39" s="68">
        <f t="shared" si="4"/>
        <v>0</v>
      </c>
      <c r="H39" s="63">
        <f t="shared" si="5"/>
        <v>0</v>
      </c>
      <c r="I39" t="s">
        <v>456</v>
      </c>
      <c r="M39" t="s">
        <v>227</v>
      </c>
      <c r="N39" t="s">
        <v>338</v>
      </c>
      <c r="O39" t="str">
        <f t="shared" si="11"/>
        <v>nein</v>
      </c>
      <c r="P39" t="str">
        <f t="shared" si="6"/>
        <v/>
      </c>
      <c r="V39" s="173"/>
    </row>
    <row r="40" spans="1:22" ht="21.75" customHeight="1" thickBot="1" x14ac:dyDescent="0.25">
      <c r="A40" s="182" t="s">
        <v>817</v>
      </c>
      <c r="B40" s="57">
        <f>'Begr.-Rechner BIO'!$B41</f>
        <v>6</v>
      </c>
      <c r="C40" s="66">
        <f>'Begr.-Rechner BIO'!C41</f>
        <v>25</v>
      </c>
      <c r="D40" s="16">
        <f t="shared" si="12"/>
        <v>150</v>
      </c>
      <c r="E40" s="145"/>
      <c r="F40" s="67">
        <f t="shared" si="3"/>
        <v>0</v>
      </c>
      <c r="G40" s="68">
        <f t="shared" si="4"/>
        <v>0</v>
      </c>
      <c r="H40" s="63">
        <f t="shared" si="5"/>
        <v>0</v>
      </c>
      <c r="I40" t="s">
        <v>317</v>
      </c>
      <c r="M40" t="s">
        <v>227</v>
      </c>
      <c r="N40" t="s">
        <v>338</v>
      </c>
      <c r="O40" t="str">
        <f t="shared" si="11"/>
        <v>nein</v>
      </c>
      <c r="P40" t="str">
        <f t="shared" si="6"/>
        <v/>
      </c>
      <c r="V40" s="173"/>
    </row>
    <row r="41" spans="1:22" ht="21.75" customHeight="1" thickBot="1" x14ac:dyDescent="0.25">
      <c r="A41" s="182" t="s">
        <v>95</v>
      </c>
      <c r="B41" s="57">
        <f>'Begr.-Rechner BIO'!$B42</f>
        <v>3.77</v>
      </c>
      <c r="C41" s="66">
        <f>'Begr.-Rechner BIO'!C42</f>
        <v>25</v>
      </c>
      <c r="D41" s="16">
        <f t="shared" si="12"/>
        <v>94.25</v>
      </c>
      <c r="E41" s="145"/>
      <c r="F41" s="67">
        <f t="shared" si="3"/>
        <v>0</v>
      </c>
      <c r="G41" s="68">
        <f t="shared" si="4"/>
        <v>0</v>
      </c>
      <c r="H41" s="63">
        <f t="shared" si="5"/>
        <v>0</v>
      </c>
      <c r="I41" t="s">
        <v>162</v>
      </c>
      <c r="M41" t="s">
        <v>227</v>
      </c>
      <c r="N41" t="s">
        <v>227</v>
      </c>
      <c r="O41" t="str">
        <f t="shared" si="11"/>
        <v>nein</v>
      </c>
      <c r="P41" t="str">
        <f t="shared" si="6"/>
        <v/>
      </c>
      <c r="V41" s="173"/>
    </row>
    <row r="42" spans="1:22" ht="21.75" customHeight="1" thickBot="1" x14ac:dyDescent="0.25">
      <c r="A42" s="182" t="s">
        <v>811</v>
      </c>
      <c r="B42" s="57">
        <f>'Begr.-Rechner BIO'!$B43</f>
        <v>3.77</v>
      </c>
      <c r="C42" s="66">
        <f>'Begr.-Rechner BIO'!C43</f>
        <v>25</v>
      </c>
      <c r="D42" s="16">
        <f t="shared" si="12"/>
        <v>94.25</v>
      </c>
      <c r="E42" s="145"/>
      <c r="F42" s="67">
        <f t="shared" si="3"/>
        <v>0</v>
      </c>
      <c r="G42" s="68">
        <f t="shared" si="4"/>
        <v>0</v>
      </c>
      <c r="H42" s="63">
        <f t="shared" si="5"/>
        <v>0</v>
      </c>
      <c r="I42" t="s">
        <v>162</v>
      </c>
      <c r="M42" t="s">
        <v>227</v>
      </c>
      <c r="N42" t="s">
        <v>227</v>
      </c>
      <c r="O42" t="str">
        <f t="shared" si="11"/>
        <v>nein</v>
      </c>
      <c r="P42" t="str">
        <f t="shared" si="6"/>
        <v/>
      </c>
      <c r="V42" s="173"/>
    </row>
    <row r="43" spans="1:22" ht="21.75" customHeight="1" thickBot="1" x14ac:dyDescent="0.25">
      <c r="A43" s="182" t="s">
        <v>834</v>
      </c>
      <c r="B43" s="57">
        <f>'Begr.-Rechner BIO'!$B44</f>
        <v>2.85</v>
      </c>
      <c r="C43" s="66">
        <f>'Begr.-Rechner BIO'!C44</f>
        <v>120</v>
      </c>
      <c r="D43" s="16">
        <f t="shared" si="12"/>
        <v>342</v>
      </c>
      <c r="E43" s="145"/>
      <c r="F43" s="67">
        <f t="shared" si="3"/>
        <v>0</v>
      </c>
      <c r="G43" s="68">
        <f t="shared" si="4"/>
        <v>0</v>
      </c>
      <c r="H43" s="63">
        <f t="shared" si="5"/>
        <v>0</v>
      </c>
      <c r="I43" t="s">
        <v>162</v>
      </c>
      <c r="M43" t="s">
        <v>227</v>
      </c>
      <c r="N43" t="s">
        <v>227</v>
      </c>
      <c r="O43" t="str">
        <f t="shared" si="11"/>
        <v>nein</v>
      </c>
      <c r="P43" t="str">
        <f t="shared" si="6"/>
        <v/>
      </c>
      <c r="V43" s="173"/>
    </row>
    <row r="44" spans="1:22" ht="21.75" customHeight="1" thickBot="1" x14ac:dyDescent="0.25">
      <c r="A44" s="182" t="s">
        <v>40</v>
      </c>
      <c r="B44" s="57">
        <f>'Begr.-Rechner BIO'!$B45</f>
        <v>15.67</v>
      </c>
      <c r="C44" s="66">
        <f>'Begr.-Rechner BIO'!C45</f>
        <v>12</v>
      </c>
      <c r="D44" s="16">
        <f t="shared" si="12"/>
        <v>188.04</v>
      </c>
      <c r="E44" s="145"/>
      <c r="F44" s="67">
        <f t="shared" si="3"/>
        <v>0</v>
      </c>
      <c r="G44" s="68">
        <f t="shared" si="4"/>
        <v>0</v>
      </c>
      <c r="H44" s="63">
        <f t="shared" si="5"/>
        <v>0</v>
      </c>
      <c r="I44" t="s">
        <v>317</v>
      </c>
      <c r="M44" t="s">
        <v>227</v>
      </c>
      <c r="N44" t="s">
        <v>338</v>
      </c>
      <c r="O44" t="str">
        <f t="shared" si="11"/>
        <v>nein</v>
      </c>
      <c r="P44" t="str">
        <f t="shared" si="6"/>
        <v/>
      </c>
      <c r="V44" s="173"/>
    </row>
    <row r="45" spans="1:22" ht="21.75" customHeight="1" thickBot="1" x14ac:dyDescent="0.25">
      <c r="A45" s="182" t="s">
        <v>406</v>
      </c>
      <c r="B45" s="57">
        <f>'Begr.-Rechner BIO'!$B46</f>
        <v>2.5299999999999998</v>
      </c>
      <c r="C45" s="66">
        <f>'Begr.-Rechner BIO'!C46</f>
        <v>150</v>
      </c>
      <c r="D45" s="16">
        <f t="shared" si="12"/>
        <v>379.49999999999994</v>
      </c>
      <c r="E45" s="145"/>
      <c r="F45" s="67">
        <f t="shared" si="3"/>
        <v>0</v>
      </c>
      <c r="G45" s="68">
        <f t="shared" si="4"/>
        <v>0</v>
      </c>
      <c r="H45" s="63">
        <f t="shared" si="5"/>
        <v>0</v>
      </c>
      <c r="I45" t="s">
        <v>317</v>
      </c>
      <c r="M45" t="s">
        <v>338</v>
      </c>
      <c r="N45" t="s">
        <v>338</v>
      </c>
      <c r="O45" t="str">
        <f t="shared" si="11"/>
        <v>nein</v>
      </c>
      <c r="P45" t="str">
        <f t="shared" si="6"/>
        <v/>
      </c>
      <c r="V45" s="173"/>
    </row>
    <row r="46" spans="1:22" ht="21.75" customHeight="1" thickBot="1" x14ac:dyDescent="0.25">
      <c r="A46" s="182" t="s">
        <v>814</v>
      </c>
      <c r="B46" s="57">
        <f>'Begr.-Rechner BIO'!$B47</f>
        <v>3.0350000000000001</v>
      </c>
      <c r="C46" s="66">
        <f>'Begr.-Rechner BIO'!C47</f>
        <v>15</v>
      </c>
      <c r="D46" s="16">
        <f t="shared" si="12"/>
        <v>45.525000000000006</v>
      </c>
      <c r="E46" s="145"/>
      <c r="F46" s="67">
        <f t="shared" si="3"/>
        <v>0</v>
      </c>
      <c r="G46" s="68">
        <f t="shared" si="4"/>
        <v>0</v>
      </c>
      <c r="H46" s="63">
        <f t="shared" si="5"/>
        <v>0</v>
      </c>
      <c r="I46" t="s">
        <v>120</v>
      </c>
      <c r="M46" t="s">
        <v>227</v>
      </c>
      <c r="N46" t="s">
        <v>338</v>
      </c>
      <c r="O46" t="str">
        <f t="shared" si="11"/>
        <v>nein</v>
      </c>
      <c r="P46" t="str">
        <f t="shared" si="6"/>
        <v/>
      </c>
      <c r="V46" s="173"/>
    </row>
    <row r="47" spans="1:22" ht="21.75" customHeight="1" thickBot="1" x14ac:dyDescent="0.25">
      <c r="A47" s="182" t="s">
        <v>812</v>
      </c>
      <c r="B47" s="57">
        <f>'Begr.-Rechner BIO'!$B48</f>
        <v>3.5649999999999999</v>
      </c>
      <c r="C47" s="66">
        <f>'Begr.-Rechner BIO'!C48</f>
        <v>15</v>
      </c>
      <c r="D47" s="16">
        <f t="shared" si="12"/>
        <v>53.475000000000001</v>
      </c>
      <c r="E47" s="145"/>
      <c r="F47" s="67">
        <f t="shared" si="3"/>
        <v>0</v>
      </c>
      <c r="G47" s="68">
        <f t="shared" si="4"/>
        <v>0</v>
      </c>
      <c r="H47" s="63">
        <f t="shared" si="5"/>
        <v>0</v>
      </c>
      <c r="I47" t="s">
        <v>120</v>
      </c>
      <c r="M47" t="s">
        <v>338</v>
      </c>
      <c r="N47" t="s">
        <v>338</v>
      </c>
      <c r="O47" t="str">
        <f t="shared" si="11"/>
        <v>nein</v>
      </c>
      <c r="P47" t="str">
        <f t="shared" si="6"/>
        <v/>
      </c>
      <c r="V47" s="173"/>
    </row>
    <row r="48" spans="1:22" ht="21.75" customHeight="1" thickBot="1" x14ac:dyDescent="0.25">
      <c r="A48" s="182" t="s">
        <v>43</v>
      </c>
      <c r="B48" s="57">
        <f>'Begr.-Rechner BIO'!$B49</f>
        <v>3.02</v>
      </c>
      <c r="C48" s="66">
        <f>'Begr.-Rechner BIO'!C49</f>
        <v>120</v>
      </c>
      <c r="D48" s="16">
        <f t="shared" si="12"/>
        <v>362.4</v>
      </c>
      <c r="E48" s="145"/>
      <c r="F48" s="67">
        <f t="shared" si="3"/>
        <v>0</v>
      </c>
      <c r="G48" s="68">
        <f t="shared" si="4"/>
        <v>0</v>
      </c>
      <c r="H48" s="63">
        <f t="shared" si="5"/>
        <v>0</v>
      </c>
      <c r="I48" t="s">
        <v>317</v>
      </c>
      <c r="M48" t="s">
        <v>338</v>
      </c>
      <c r="N48" t="s">
        <v>338</v>
      </c>
      <c r="O48" t="str">
        <f t="shared" si="11"/>
        <v>nein</v>
      </c>
      <c r="P48" t="str">
        <f t="shared" si="6"/>
        <v/>
      </c>
      <c r="V48" s="173"/>
    </row>
    <row r="49" spans="1:22" ht="21.75" customHeight="1" thickBot="1" x14ac:dyDescent="0.25">
      <c r="A49" s="182" t="s">
        <v>818</v>
      </c>
      <c r="B49" s="57">
        <f>'Begr.-Rechner BIO'!$B50</f>
        <v>26.01</v>
      </c>
      <c r="C49" s="66">
        <f>'Begr.-Rechner BIO'!C50</f>
        <v>15</v>
      </c>
      <c r="D49" s="16">
        <f t="shared" si="12"/>
        <v>390.15000000000003</v>
      </c>
      <c r="E49" s="145"/>
      <c r="F49" s="67">
        <f t="shared" si="3"/>
        <v>0</v>
      </c>
      <c r="G49" s="68">
        <f t="shared" si="4"/>
        <v>0</v>
      </c>
      <c r="H49" s="63">
        <f t="shared" si="5"/>
        <v>0</v>
      </c>
      <c r="I49" t="s">
        <v>319</v>
      </c>
      <c r="M49" t="s">
        <v>227</v>
      </c>
      <c r="N49" t="s">
        <v>338</v>
      </c>
      <c r="O49" t="str">
        <f t="shared" si="11"/>
        <v>nein</v>
      </c>
      <c r="P49" t="str">
        <f t="shared" si="6"/>
        <v/>
      </c>
      <c r="V49" s="173"/>
    </row>
    <row r="50" spans="1:22" ht="21.75" customHeight="1" thickBot="1" x14ac:dyDescent="0.25">
      <c r="A50" s="182" t="s">
        <v>826</v>
      </c>
      <c r="B50" s="57">
        <f>'Begr.-Rechner BIO'!$B51</f>
        <v>5.83</v>
      </c>
      <c r="C50" s="66">
        <f>'Begr.-Rechner BIO'!C51</f>
        <v>15</v>
      </c>
      <c r="D50" s="16">
        <f t="shared" si="12"/>
        <v>87.45</v>
      </c>
      <c r="E50" s="145"/>
      <c r="F50" s="67">
        <f t="shared" si="3"/>
        <v>0</v>
      </c>
      <c r="G50" s="68">
        <f t="shared" si="4"/>
        <v>0</v>
      </c>
      <c r="H50" s="63">
        <f t="shared" si="5"/>
        <v>0</v>
      </c>
      <c r="I50" t="s">
        <v>162</v>
      </c>
      <c r="M50" t="s">
        <v>227</v>
      </c>
      <c r="N50" t="s">
        <v>227</v>
      </c>
      <c r="O50" t="str">
        <f t="shared" si="11"/>
        <v>nein</v>
      </c>
      <c r="P50" t="str">
        <f t="shared" si="6"/>
        <v/>
      </c>
      <c r="V50" s="173"/>
    </row>
    <row r="51" spans="1:22" ht="21.75" customHeight="1" thickBot="1" x14ac:dyDescent="0.25">
      <c r="A51" s="227" t="str">
        <f>'Begr.-Rechner BIO'!$A52</f>
        <v>eigene Kultur 1</v>
      </c>
      <c r="B51" s="57">
        <f>'Begr.-Rechner BIO'!$B52</f>
        <v>0</v>
      </c>
      <c r="C51" s="66">
        <f>'Begr.-Rechner BIO'!C52</f>
        <v>0</v>
      </c>
      <c r="D51" s="16">
        <f t="shared" si="10"/>
        <v>0</v>
      </c>
      <c r="E51" s="145">
        <f>'Begr.-Rechner BIO'!E52</f>
        <v>0</v>
      </c>
      <c r="F51" s="67">
        <f t="shared" ref="F51:F57" si="13">IF(ISERROR(E51*B51),0,(E51*B51))</f>
        <v>0</v>
      </c>
      <c r="G51" s="68">
        <f t="shared" ref="G51:G57" si="14">IF(ISERROR(E51/C51),0,(E51/C51))</f>
        <v>0</v>
      </c>
      <c r="H51" s="228">
        <f t="shared" ref="H51:H57" si="15">IF(ISERROR($I$2*E51),0,($I$2*E51))</f>
        <v>0</v>
      </c>
      <c r="I51" s="229">
        <f>IF(AND('Begr.-Rechner BIO'!I52="",O51="ja"),"keine Angabe",'Begr.-Rechner BIO'!I52)</f>
        <v>0</v>
      </c>
      <c r="M51" t="str">
        <f>IF('Begr.-Rechner BIO'!$N52="","nein",IF('Begr.-Rechner BIO'!$N52&lt;&gt;"","ja"))</f>
        <v>nein</v>
      </c>
      <c r="N51" s="167" t="str">
        <f>IF(AND(O51="ja",'Begr.-Rechner BIO'!I52&lt;&gt;""),'Begr.-Rechner BIO'!L52,"")</f>
        <v/>
      </c>
      <c r="O51" t="str">
        <f t="shared" si="11"/>
        <v>nein</v>
      </c>
      <c r="P51" t="str">
        <f t="shared" si="6"/>
        <v/>
      </c>
      <c r="V51" s="173" t="str">
        <f t="shared" si="7"/>
        <v/>
      </c>
    </row>
    <row r="52" spans="1:22" ht="21.75" customHeight="1" thickBot="1" x14ac:dyDescent="0.25">
      <c r="A52" s="227" t="str">
        <f>'Begr.-Rechner BIO'!$A53</f>
        <v>eigene Kultur 2</v>
      </c>
      <c r="B52" s="57">
        <f>'Begr.-Rechner BIO'!$B53</f>
        <v>0</v>
      </c>
      <c r="C52" s="66">
        <f>'Begr.-Rechner BIO'!C53</f>
        <v>0</v>
      </c>
      <c r="D52" s="16">
        <f t="shared" si="10"/>
        <v>0</v>
      </c>
      <c r="E52" s="145">
        <f>'Begr.-Rechner BIO'!E53</f>
        <v>0</v>
      </c>
      <c r="F52" s="67">
        <f t="shared" si="13"/>
        <v>0</v>
      </c>
      <c r="G52" s="68">
        <f t="shared" si="14"/>
        <v>0</v>
      </c>
      <c r="H52" s="228">
        <f t="shared" si="15"/>
        <v>0</v>
      </c>
      <c r="I52" s="229">
        <f>IF(AND('Begr.-Rechner BIO'!I53="",O52="ja"),"keine Angabe",'Begr.-Rechner BIO'!I53)</f>
        <v>0</v>
      </c>
      <c r="M52" t="str">
        <f>IF('Begr.-Rechner BIO'!$N53="","nein",IF('Begr.-Rechner BIO'!$N53&lt;&gt;"","ja"))</f>
        <v>nein</v>
      </c>
      <c r="N52" s="167" t="str">
        <f>IF(AND(O52="ja",'Begr.-Rechner BIO'!I53&lt;&gt;""),'Begr.-Rechner BIO'!L53,"")</f>
        <v/>
      </c>
      <c r="O52" t="str">
        <f t="shared" si="11"/>
        <v>nein</v>
      </c>
      <c r="P52" t="str">
        <f t="shared" si="6"/>
        <v/>
      </c>
      <c r="V52" s="173" t="str">
        <f t="shared" si="7"/>
        <v/>
      </c>
    </row>
    <row r="53" spans="1:22" ht="21.75" customHeight="1" thickBot="1" x14ac:dyDescent="0.25">
      <c r="A53" s="227" t="str">
        <f>'Begr.-Rechner BIO'!$A54</f>
        <v>eigene Kultur 3</v>
      </c>
      <c r="B53" s="57">
        <f>'Begr.-Rechner BIO'!$B54</f>
        <v>0</v>
      </c>
      <c r="C53" s="66">
        <f>'Begr.-Rechner BIO'!C54</f>
        <v>0</v>
      </c>
      <c r="D53" s="16">
        <f t="shared" si="10"/>
        <v>0</v>
      </c>
      <c r="E53" s="145">
        <f>'Begr.-Rechner BIO'!E54</f>
        <v>0</v>
      </c>
      <c r="F53" s="67">
        <f t="shared" si="13"/>
        <v>0</v>
      </c>
      <c r="G53" s="68">
        <f t="shared" si="14"/>
        <v>0</v>
      </c>
      <c r="H53" s="228">
        <f t="shared" si="15"/>
        <v>0</v>
      </c>
      <c r="I53" s="229">
        <f>IF(AND('Begr.-Rechner BIO'!I54="",O53="ja"),"keine Angabe",'Begr.-Rechner BIO'!I54)</f>
        <v>0</v>
      </c>
      <c r="M53" t="str">
        <f>IF('Begr.-Rechner BIO'!$N54="","nein",IF('Begr.-Rechner BIO'!$N54&lt;&gt;"","ja"))</f>
        <v>nein</v>
      </c>
      <c r="N53" s="167" t="str">
        <f>IF(AND(O53="ja",'Begr.-Rechner BIO'!I54&lt;&gt;""),'Begr.-Rechner BIO'!L54,"")</f>
        <v/>
      </c>
      <c r="O53" t="str">
        <f t="shared" si="11"/>
        <v>nein</v>
      </c>
      <c r="P53" t="str">
        <f t="shared" si="6"/>
        <v/>
      </c>
      <c r="V53" s="173" t="str">
        <f t="shared" si="7"/>
        <v/>
      </c>
    </row>
    <row r="54" spans="1:22" ht="21.75" customHeight="1" thickBot="1" x14ac:dyDescent="0.25">
      <c r="A54" s="227" t="str">
        <f>'Begr.-Rechner BIO'!$A55</f>
        <v>eigene Kultur 4</v>
      </c>
      <c r="B54" s="57">
        <f>'Begr.-Rechner BIO'!$B55</f>
        <v>0</v>
      </c>
      <c r="C54" s="66">
        <f>'Begr.-Rechner BIO'!C55</f>
        <v>0</v>
      </c>
      <c r="D54" s="16">
        <f t="shared" si="10"/>
        <v>0</v>
      </c>
      <c r="E54" s="145">
        <f>'Begr.-Rechner BIO'!E55</f>
        <v>0</v>
      </c>
      <c r="F54" s="67">
        <f t="shared" si="13"/>
        <v>0</v>
      </c>
      <c r="G54" s="68">
        <f t="shared" si="14"/>
        <v>0</v>
      </c>
      <c r="H54" s="228">
        <f t="shared" si="15"/>
        <v>0</v>
      </c>
      <c r="I54" s="229">
        <f>IF(AND('Begr.-Rechner BIO'!I55="",O54="ja"),"keine Angabe",'Begr.-Rechner BIO'!I55)</f>
        <v>0</v>
      </c>
      <c r="M54" t="str">
        <f>IF('Begr.-Rechner BIO'!$N55="","nein",IF('Begr.-Rechner BIO'!$N55&lt;&gt;"","ja"))</f>
        <v>nein</v>
      </c>
      <c r="N54" s="167" t="str">
        <f>IF(AND(O54="ja",'Begr.-Rechner BIO'!I55&lt;&gt;""),'Begr.-Rechner BIO'!L55,"")</f>
        <v/>
      </c>
      <c r="O54" t="str">
        <f t="shared" si="11"/>
        <v>nein</v>
      </c>
      <c r="P54" t="str">
        <f t="shared" si="6"/>
        <v/>
      </c>
      <c r="V54" s="173" t="str">
        <f t="shared" si="7"/>
        <v/>
      </c>
    </row>
    <row r="55" spans="1:22" ht="21.75" customHeight="1" thickBot="1" x14ac:dyDescent="0.25">
      <c r="A55" s="227" t="str">
        <f>'Begr.-Rechner BIO'!$A56</f>
        <v>eigene Kultur 5</v>
      </c>
      <c r="B55" s="57">
        <f>'Begr.-Rechner BIO'!$B56</f>
        <v>0</v>
      </c>
      <c r="C55" s="66">
        <f>'Begr.-Rechner BIO'!C56</f>
        <v>0</v>
      </c>
      <c r="D55" s="16">
        <f t="shared" si="10"/>
        <v>0</v>
      </c>
      <c r="E55" s="145">
        <f>'Begr.-Rechner BIO'!E56</f>
        <v>0</v>
      </c>
      <c r="F55" s="67">
        <f t="shared" si="13"/>
        <v>0</v>
      </c>
      <c r="G55" s="68">
        <f t="shared" si="14"/>
        <v>0</v>
      </c>
      <c r="H55" s="228">
        <f t="shared" si="15"/>
        <v>0</v>
      </c>
      <c r="I55" s="229">
        <f>IF(AND('Begr.-Rechner BIO'!I56="",O55="ja"),"keine Angabe",'Begr.-Rechner BIO'!I56)</f>
        <v>0</v>
      </c>
      <c r="M55" t="str">
        <f>IF('Begr.-Rechner BIO'!$N56="","nein",IF('Begr.-Rechner BIO'!$N56&lt;&gt;"","ja"))</f>
        <v>nein</v>
      </c>
      <c r="N55" s="167" t="str">
        <f>IF(AND(O55="ja",'Begr.-Rechner BIO'!I56&lt;&gt;""),'Begr.-Rechner BIO'!L56,"")</f>
        <v/>
      </c>
      <c r="O55" t="str">
        <f t="shared" si="11"/>
        <v>nein</v>
      </c>
      <c r="P55" t="str">
        <f t="shared" si="6"/>
        <v/>
      </c>
      <c r="V55" s="173" t="str">
        <f t="shared" si="7"/>
        <v/>
      </c>
    </row>
    <row r="56" spans="1:22" ht="21.75" customHeight="1" thickBot="1" x14ac:dyDescent="0.25">
      <c r="A56" s="227" t="str">
        <f>'Begr.-Rechner BIO'!$A57</f>
        <v>eigene Kultur 6</v>
      </c>
      <c r="B56" s="57">
        <f>'Begr.-Rechner BIO'!$B57</f>
        <v>0</v>
      </c>
      <c r="C56" s="66">
        <f>'Begr.-Rechner BIO'!C57</f>
        <v>0</v>
      </c>
      <c r="D56" s="16">
        <f t="shared" si="10"/>
        <v>0</v>
      </c>
      <c r="E56" s="145">
        <f>'Begr.-Rechner BIO'!E57</f>
        <v>0</v>
      </c>
      <c r="F56" s="67">
        <f t="shared" si="13"/>
        <v>0</v>
      </c>
      <c r="G56" s="68">
        <f t="shared" si="14"/>
        <v>0</v>
      </c>
      <c r="H56" s="228">
        <f t="shared" si="15"/>
        <v>0</v>
      </c>
      <c r="I56" s="229">
        <f>IF(AND('Begr.-Rechner BIO'!I57="",O56="ja"),"keine Angabe",'Begr.-Rechner BIO'!I57)</f>
        <v>0</v>
      </c>
      <c r="M56" t="str">
        <f>IF('Begr.-Rechner BIO'!$N57="","nein",IF('Begr.-Rechner BIO'!$N57&lt;&gt;"","ja"))</f>
        <v>nein</v>
      </c>
      <c r="N56" s="167" t="str">
        <f>IF(AND(O56="ja",'Begr.-Rechner BIO'!I57&lt;&gt;""),'Begr.-Rechner BIO'!L57,"")</f>
        <v/>
      </c>
      <c r="O56" t="str">
        <f t="shared" si="11"/>
        <v>nein</v>
      </c>
      <c r="P56" t="str">
        <f t="shared" si="6"/>
        <v/>
      </c>
      <c r="V56" s="173" t="str">
        <f t="shared" si="7"/>
        <v/>
      </c>
    </row>
    <row r="57" spans="1:22" ht="21.75" customHeight="1" thickBot="1" x14ac:dyDescent="0.25">
      <c r="A57" s="227" t="str">
        <f>'Begr.-Rechner BIO'!$A58</f>
        <v>eigene Kultur 7</v>
      </c>
      <c r="B57" s="57">
        <f>'Begr.-Rechner BIO'!$B58</f>
        <v>0</v>
      </c>
      <c r="C57" s="66">
        <f>'Begr.-Rechner BIO'!C58</f>
        <v>0</v>
      </c>
      <c r="D57" s="16">
        <f t="shared" si="10"/>
        <v>0</v>
      </c>
      <c r="E57" s="145">
        <f>'Begr.-Rechner BIO'!E58</f>
        <v>0</v>
      </c>
      <c r="F57" s="67">
        <f t="shared" si="13"/>
        <v>0</v>
      </c>
      <c r="G57" s="68">
        <f t="shared" si="14"/>
        <v>0</v>
      </c>
      <c r="H57" s="228">
        <f t="shared" si="15"/>
        <v>0</v>
      </c>
      <c r="I57" s="229">
        <f>IF(AND('Begr.-Rechner BIO'!I58="",O57="ja"),"keine Angabe",'Begr.-Rechner BIO'!I58)</f>
        <v>0</v>
      </c>
      <c r="M57" t="str">
        <f>IF('Begr.-Rechner BIO'!$N58="","nein",IF('Begr.-Rechner BIO'!$N58&lt;&gt;"","ja"))</f>
        <v>nein</v>
      </c>
      <c r="N57" s="167" t="str">
        <f>IF(AND(O57="ja",'Begr.-Rechner BIO'!I58&lt;&gt;""),'Begr.-Rechner BIO'!L58,"")</f>
        <v/>
      </c>
      <c r="O57" t="str">
        <f t="shared" si="11"/>
        <v>nein</v>
      </c>
      <c r="P57" t="str">
        <f t="shared" si="6"/>
        <v/>
      </c>
      <c r="V57" s="173" t="str">
        <f t="shared" si="7"/>
        <v/>
      </c>
    </row>
    <row r="58" spans="1:22" ht="21.75" customHeight="1" x14ac:dyDescent="0.25">
      <c r="V58" s="173" t="str">
        <f t="shared" si="7"/>
        <v/>
      </c>
    </row>
    <row r="59" spans="1:22" ht="14.25" x14ac:dyDescent="0.2">
      <c r="B59"/>
    </row>
    <row r="60" spans="1:22" ht="14.25" customHeight="1" x14ac:dyDescent="0.2">
      <c r="A60" s="146"/>
      <c r="B60"/>
    </row>
    <row r="61" spans="1:22" ht="14.25" x14ac:dyDescent="0.2">
      <c r="A61" s="33"/>
      <c r="B61"/>
    </row>
    <row r="62" spans="1:22" ht="14.25" x14ac:dyDescent="0.2">
      <c r="A62" s="44"/>
      <c r="B62"/>
    </row>
    <row r="63" spans="1:22" ht="14.25" x14ac:dyDescent="0.2">
      <c r="A63" s="34"/>
      <c r="B63"/>
    </row>
    <row r="64" spans="1:22" ht="14.25" x14ac:dyDescent="0.2">
      <c r="B64"/>
    </row>
    <row r="65" spans="2:2" ht="14.25" x14ac:dyDescent="0.2">
      <c r="B65"/>
    </row>
    <row r="66" spans="2:2" ht="14.25" x14ac:dyDescent="0.2">
      <c r="B66"/>
    </row>
    <row r="67" spans="2:2" ht="14.25" x14ac:dyDescent="0.2">
      <c r="B67"/>
    </row>
    <row r="68" spans="2:2" ht="14.25" x14ac:dyDescent="0.2">
      <c r="B68"/>
    </row>
    <row r="69" spans="2:2" ht="14.25" x14ac:dyDescent="0.2">
      <c r="B69"/>
    </row>
    <row r="70" spans="2:2" ht="14.25" x14ac:dyDescent="0.2">
      <c r="B70"/>
    </row>
    <row r="71" spans="2:2" ht="14.25" x14ac:dyDescent="0.2">
      <c r="B71"/>
    </row>
    <row r="72" spans="2:2" ht="14.25" x14ac:dyDescent="0.2">
      <c r="B72"/>
    </row>
    <row r="73" spans="2:2" ht="14.25" x14ac:dyDescent="0.2">
      <c r="B73"/>
    </row>
    <row r="74" spans="2:2" ht="14.25" x14ac:dyDescent="0.2">
      <c r="B74"/>
    </row>
    <row r="75" spans="2:2" ht="14.25" x14ac:dyDescent="0.2">
      <c r="B75"/>
    </row>
    <row r="76" spans="2:2" ht="14.25" x14ac:dyDescent="0.2">
      <c r="B76"/>
    </row>
    <row r="77" spans="2:2" ht="14.25" x14ac:dyDescent="0.2">
      <c r="B77"/>
    </row>
    <row r="78" spans="2:2" ht="14.25" x14ac:dyDescent="0.2">
      <c r="B78"/>
    </row>
    <row r="79" spans="2:2" ht="14.25" x14ac:dyDescent="0.2">
      <c r="B79"/>
    </row>
    <row r="80" spans="2:2" ht="14.25" x14ac:dyDescent="0.2">
      <c r="B80"/>
    </row>
    <row r="81" spans="2:2" ht="14.25" x14ac:dyDescent="0.2">
      <c r="B81"/>
    </row>
    <row r="82" spans="2:2" ht="14.25" x14ac:dyDescent="0.2">
      <c r="B82"/>
    </row>
    <row r="83" spans="2:2" ht="14.25" x14ac:dyDescent="0.2">
      <c r="B83"/>
    </row>
    <row r="84" spans="2:2" ht="14.25" x14ac:dyDescent="0.2">
      <c r="B84"/>
    </row>
    <row r="85" spans="2:2" ht="14.25" x14ac:dyDescent="0.2">
      <c r="B85"/>
    </row>
    <row r="86" spans="2:2" ht="14.25" x14ac:dyDescent="0.2">
      <c r="B86"/>
    </row>
    <row r="87" spans="2:2" ht="14.25" x14ac:dyDescent="0.2">
      <c r="B87"/>
    </row>
    <row r="88" spans="2:2" ht="14.25" x14ac:dyDescent="0.2">
      <c r="B88"/>
    </row>
    <row r="89" spans="2:2" ht="14.25" x14ac:dyDescent="0.2">
      <c r="B89"/>
    </row>
    <row r="90" spans="2:2" ht="14.25" x14ac:dyDescent="0.2">
      <c r="B90"/>
    </row>
    <row r="91" spans="2:2" ht="14.25" x14ac:dyDescent="0.2">
      <c r="B91"/>
    </row>
    <row r="92" spans="2:2" ht="14.25" x14ac:dyDescent="0.2">
      <c r="B92"/>
    </row>
    <row r="93" spans="2:2" ht="14.25" x14ac:dyDescent="0.2">
      <c r="B93"/>
    </row>
    <row r="94" spans="2:2" ht="14.25" x14ac:dyDescent="0.2">
      <c r="B94"/>
    </row>
    <row r="95" spans="2:2" ht="14.25" x14ac:dyDescent="0.2">
      <c r="B95"/>
    </row>
    <row r="96" spans="2:2" ht="14.25" x14ac:dyDescent="0.2">
      <c r="B96"/>
    </row>
    <row r="97" spans="2:2" ht="14.25" x14ac:dyDescent="0.2">
      <c r="B97"/>
    </row>
    <row r="98" spans="2:2" ht="14.25" x14ac:dyDescent="0.2">
      <c r="B98"/>
    </row>
    <row r="99" spans="2:2" ht="14.25" x14ac:dyDescent="0.2">
      <c r="B99"/>
    </row>
    <row r="100" spans="2:2" ht="14.25" x14ac:dyDescent="0.2">
      <c r="B100"/>
    </row>
    <row r="101" spans="2:2" ht="14.25" x14ac:dyDescent="0.2">
      <c r="B101"/>
    </row>
    <row r="102" spans="2:2" ht="14.25" x14ac:dyDescent="0.2">
      <c r="B102"/>
    </row>
    <row r="103" spans="2:2" ht="14.25" x14ac:dyDescent="0.2">
      <c r="B103"/>
    </row>
    <row r="104" spans="2:2" ht="14.25" x14ac:dyDescent="0.2">
      <c r="B104"/>
    </row>
    <row r="105" spans="2:2" ht="14.25" x14ac:dyDescent="0.2">
      <c r="B105"/>
    </row>
    <row r="106" spans="2:2" ht="14.25" x14ac:dyDescent="0.2">
      <c r="B106"/>
    </row>
    <row r="107" spans="2:2" ht="14.25" x14ac:dyDescent="0.2">
      <c r="B107"/>
    </row>
    <row r="108" spans="2:2" ht="14.25" x14ac:dyDescent="0.2">
      <c r="B108"/>
    </row>
    <row r="109" spans="2:2" ht="14.25" x14ac:dyDescent="0.2">
      <c r="B109"/>
    </row>
    <row r="110" spans="2:2" ht="14.25" x14ac:dyDescent="0.2">
      <c r="B110"/>
    </row>
    <row r="111" spans="2:2" ht="14.25" x14ac:dyDescent="0.2">
      <c r="B111"/>
    </row>
    <row r="112" spans="2:2" ht="14.25" x14ac:dyDescent="0.2">
      <c r="B112"/>
    </row>
    <row r="113" spans="2:2" ht="14.25" x14ac:dyDescent="0.2">
      <c r="B113"/>
    </row>
    <row r="114" spans="2:2" ht="14.25" x14ac:dyDescent="0.2">
      <c r="B114"/>
    </row>
    <row r="115" spans="2:2" ht="14.25" x14ac:dyDescent="0.2">
      <c r="B115"/>
    </row>
    <row r="116" spans="2:2" ht="14.25" x14ac:dyDescent="0.2">
      <c r="B116"/>
    </row>
    <row r="117" spans="2:2" ht="14.25" x14ac:dyDescent="0.2">
      <c r="B117"/>
    </row>
    <row r="118" spans="2:2" ht="14.25" x14ac:dyDescent="0.2">
      <c r="B118"/>
    </row>
    <row r="119" spans="2:2" ht="14.25" x14ac:dyDescent="0.2">
      <c r="B119"/>
    </row>
    <row r="120" spans="2:2" ht="14.25" x14ac:dyDescent="0.2">
      <c r="B120"/>
    </row>
    <row r="121" spans="2:2" ht="14.25" x14ac:dyDescent="0.2">
      <c r="B121"/>
    </row>
    <row r="122" spans="2:2" ht="14.25" x14ac:dyDescent="0.2">
      <c r="B122"/>
    </row>
    <row r="123" spans="2:2" ht="14.25" x14ac:dyDescent="0.2">
      <c r="B123"/>
    </row>
    <row r="124" spans="2:2" ht="14.25" x14ac:dyDescent="0.2">
      <c r="B124"/>
    </row>
    <row r="125" spans="2:2" ht="14.25" x14ac:dyDescent="0.2">
      <c r="B125"/>
    </row>
    <row r="126" spans="2:2" ht="14.25" x14ac:dyDescent="0.2">
      <c r="B126"/>
    </row>
    <row r="127" spans="2:2" ht="14.25" x14ac:dyDescent="0.2">
      <c r="B127"/>
    </row>
    <row r="128" spans="2:2" ht="14.25" x14ac:dyDescent="0.2">
      <c r="B128"/>
    </row>
    <row r="129" spans="2:2" ht="14.25" x14ac:dyDescent="0.2">
      <c r="B129"/>
    </row>
    <row r="130" spans="2:2" ht="14.25" x14ac:dyDescent="0.2">
      <c r="B130"/>
    </row>
    <row r="131" spans="2:2" ht="14.25" x14ac:dyDescent="0.2">
      <c r="B131"/>
    </row>
    <row r="132" spans="2:2" ht="14.25" x14ac:dyDescent="0.2">
      <c r="B132"/>
    </row>
    <row r="133" spans="2:2" ht="14.25" x14ac:dyDescent="0.2">
      <c r="B133"/>
    </row>
    <row r="134" spans="2:2" ht="14.25" x14ac:dyDescent="0.2">
      <c r="B134"/>
    </row>
    <row r="135" spans="2:2" ht="14.25" x14ac:dyDescent="0.2">
      <c r="B135"/>
    </row>
    <row r="136" spans="2:2" ht="14.25" x14ac:dyDescent="0.2">
      <c r="B136"/>
    </row>
    <row r="137" spans="2:2" ht="14.25" x14ac:dyDescent="0.2">
      <c r="B137"/>
    </row>
    <row r="138" spans="2:2" ht="14.25" x14ac:dyDescent="0.2">
      <c r="B138"/>
    </row>
    <row r="139" spans="2:2" ht="14.25" x14ac:dyDescent="0.2">
      <c r="B139"/>
    </row>
    <row r="140" spans="2:2" ht="14.25" x14ac:dyDescent="0.2">
      <c r="B140"/>
    </row>
    <row r="141" spans="2:2" ht="14.25" x14ac:dyDescent="0.2">
      <c r="B141"/>
    </row>
    <row r="142" spans="2:2" ht="14.25" x14ac:dyDescent="0.2">
      <c r="B142"/>
    </row>
    <row r="143" spans="2:2" ht="14.25" x14ac:dyDescent="0.2">
      <c r="B143"/>
    </row>
    <row r="144" spans="2:2" ht="14.25" x14ac:dyDescent="0.2">
      <c r="B144"/>
    </row>
    <row r="145" spans="2:2" ht="14.25" x14ac:dyDescent="0.2">
      <c r="B145"/>
    </row>
    <row r="146" spans="2:2" ht="14.25" x14ac:dyDescent="0.2">
      <c r="B146"/>
    </row>
    <row r="147" spans="2:2" ht="14.25" x14ac:dyDescent="0.2">
      <c r="B147"/>
    </row>
    <row r="148" spans="2:2" ht="14.25" x14ac:dyDescent="0.2">
      <c r="B148"/>
    </row>
    <row r="149" spans="2:2" ht="14.25" x14ac:dyDescent="0.2">
      <c r="B149"/>
    </row>
    <row r="150" spans="2:2" ht="14.25" x14ac:dyDescent="0.2">
      <c r="B150"/>
    </row>
    <row r="151" spans="2:2" ht="14.25" x14ac:dyDescent="0.2">
      <c r="B151"/>
    </row>
    <row r="152" spans="2:2" ht="14.25" x14ac:dyDescent="0.2">
      <c r="B152"/>
    </row>
    <row r="153" spans="2:2" ht="14.25" x14ac:dyDescent="0.2">
      <c r="B153"/>
    </row>
    <row r="154" spans="2:2" ht="14.25" x14ac:dyDescent="0.2">
      <c r="B154"/>
    </row>
    <row r="155" spans="2:2" ht="14.25" x14ac:dyDescent="0.2">
      <c r="B155"/>
    </row>
    <row r="156" spans="2:2" ht="14.25" x14ac:dyDescent="0.2">
      <c r="B156"/>
    </row>
    <row r="157" spans="2:2" ht="14.25" x14ac:dyDescent="0.2">
      <c r="B157"/>
    </row>
    <row r="158" spans="2:2" ht="14.25" x14ac:dyDescent="0.2">
      <c r="B158"/>
    </row>
    <row r="159" spans="2:2" ht="14.25" x14ac:dyDescent="0.2">
      <c r="B159"/>
    </row>
    <row r="160" spans="2:2" ht="14.25" x14ac:dyDescent="0.2">
      <c r="B160"/>
    </row>
    <row r="161" spans="2:2" ht="14.25" x14ac:dyDescent="0.2">
      <c r="B161"/>
    </row>
    <row r="162" spans="2:2" ht="14.25" x14ac:dyDescent="0.2">
      <c r="B162"/>
    </row>
    <row r="163" spans="2:2" ht="14.25" x14ac:dyDescent="0.2">
      <c r="B163"/>
    </row>
    <row r="164" spans="2:2" ht="14.25" x14ac:dyDescent="0.2">
      <c r="B164"/>
    </row>
    <row r="165" spans="2:2" ht="14.25" x14ac:dyDescent="0.2">
      <c r="B165"/>
    </row>
    <row r="166" spans="2:2" ht="14.25" x14ac:dyDescent="0.2">
      <c r="B166"/>
    </row>
    <row r="167" spans="2:2" ht="14.25" x14ac:dyDescent="0.2">
      <c r="B167"/>
    </row>
    <row r="168" spans="2:2" ht="14.25" x14ac:dyDescent="0.2">
      <c r="B168"/>
    </row>
    <row r="169" spans="2:2" ht="14.25" x14ac:dyDescent="0.2">
      <c r="B169"/>
    </row>
    <row r="170" spans="2:2" ht="14.25" x14ac:dyDescent="0.2">
      <c r="B170"/>
    </row>
    <row r="171" spans="2:2" ht="14.25" x14ac:dyDescent="0.2">
      <c r="B171"/>
    </row>
    <row r="172" spans="2:2" ht="14.25" x14ac:dyDescent="0.2">
      <c r="B172"/>
    </row>
    <row r="173" spans="2:2" ht="14.25" x14ac:dyDescent="0.2">
      <c r="B173"/>
    </row>
    <row r="174" spans="2:2" ht="14.25" x14ac:dyDescent="0.2">
      <c r="B174"/>
    </row>
    <row r="175" spans="2:2" ht="14.25" x14ac:dyDescent="0.2">
      <c r="B175"/>
    </row>
    <row r="176" spans="2:2" ht="14.25" x14ac:dyDescent="0.2">
      <c r="B176"/>
    </row>
    <row r="177" spans="2:2" ht="14.25" x14ac:dyDescent="0.2">
      <c r="B177"/>
    </row>
    <row r="178" spans="2:2" ht="14.25" x14ac:dyDescent="0.2">
      <c r="B178"/>
    </row>
    <row r="179" spans="2:2" ht="14.25" x14ac:dyDescent="0.2">
      <c r="B179"/>
    </row>
    <row r="180" spans="2:2" ht="14.25" x14ac:dyDescent="0.2">
      <c r="B180"/>
    </row>
    <row r="181" spans="2:2" ht="14.25" x14ac:dyDescent="0.2">
      <c r="B181"/>
    </row>
    <row r="182" spans="2:2" ht="14.25" x14ac:dyDescent="0.2">
      <c r="B182"/>
    </row>
    <row r="183" spans="2:2" ht="14.25" x14ac:dyDescent="0.2">
      <c r="B183"/>
    </row>
    <row r="184" spans="2:2" ht="14.25" x14ac:dyDescent="0.2">
      <c r="B184"/>
    </row>
    <row r="185" spans="2:2" ht="14.25" x14ac:dyDescent="0.2">
      <c r="B185"/>
    </row>
    <row r="186" spans="2:2" ht="14.25" x14ac:dyDescent="0.2">
      <c r="B186"/>
    </row>
    <row r="187" spans="2:2" ht="14.25" x14ac:dyDescent="0.2">
      <c r="B187"/>
    </row>
    <row r="188" spans="2:2" ht="14.25" x14ac:dyDescent="0.2">
      <c r="B188"/>
    </row>
    <row r="189" spans="2:2" ht="14.25" x14ac:dyDescent="0.2">
      <c r="B189"/>
    </row>
    <row r="190" spans="2:2" ht="14.25" x14ac:dyDescent="0.2">
      <c r="B190"/>
    </row>
    <row r="191" spans="2:2" ht="14.25" x14ac:dyDescent="0.2">
      <c r="B191"/>
    </row>
    <row r="192" spans="2:2" ht="14.25" x14ac:dyDescent="0.2">
      <c r="B192"/>
    </row>
    <row r="193" spans="2:2" ht="14.25" x14ac:dyDescent="0.2">
      <c r="B193"/>
    </row>
    <row r="194" spans="2:2" ht="14.25" x14ac:dyDescent="0.2">
      <c r="B194"/>
    </row>
    <row r="195" spans="2:2" ht="14.25" x14ac:dyDescent="0.2">
      <c r="B195"/>
    </row>
    <row r="196" spans="2:2" ht="14.25" x14ac:dyDescent="0.2">
      <c r="B196"/>
    </row>
    <row r="197" spans="2:2" ht="14.25" x14ac:dyDescent="0.2">
      <c r="B197"/>
    </row>
    <row r="198" spans="2:2" ht="14.25" x14ac:dyDescent="0.2">
      <c r="B198"/>
    </row>
    <row r="199" spans="2:2" ht="14.25" x14ac:dyDescent="0.2">
      <c r="B199"/>
    </row>
    <row r="200" spans="2:2" ht="14.25" x14ac:dyDescent="0.2">
      <c r="B200"/>
    </row>
    <row r="201" spans="2:2" ht="14.25" x14ac:dyDescent="0.2">
      <c r="B201"/>
    </row>
    <row r="202" spans="2:2" ht="14.25" x14ac:dyDescent="0.2">
      <c r="B202"/>
    </row>
    <row r="203" spans="2:2" ht="14.25" x14ac:dyDescent="0.2">
      <c r="B203"/>
    </row>
    <row r="204" spans="2:2" ht="14.25" x14ac:dyDescent="0.2">
      <c r="B204"/>
    </row>
    <row r="205" spans="2:2" ht="14.25" x14ac:dyDescent="0.2">
      <c r="B205"/>
    </row>
    <row r="206" spans="2:2" ht="14.25" x14ac:dyDescent="0.2">
      <c r="B206"/>
    </row>
    <row r="207" spans="2:2" ht="14.25" x14ac:dyDescent="0.2">
      <c r="B207"/>
    </row>
    <row r="208" spans="2:2" ht="14.25" x14ac:dyDescent="0.2">
      <c r="B208"/>
    </row>
    <row r="209" spans="2:2" ht="14.25" x14ac:dyDescent="0.2">
      <c r="B209"/>
    </row>
    <row r="210" spans="2:2" ht="14.25" x14ac:dyDescent="0.2">
      <c r="B210"/>
    </row>
    <row r="211" spans="2:2" ht="14.25" x14ac:dyDescent="0.2">
      <c r="B211"/>
    </row>
    <row r="212" spans="2:2" ht="14.25" x14ac:dyDescent="0.2">
      <c r="B212"/>
    </row>
    <row r="213" spans="2:2" ht="14.25" x14ac:dyDescent="0.2">
      <c r="B213"/>
    </row>
    <row r="214" spans="2:2" ht="14.25" x14ac:dyDescent="0.2">
      <c r="B214"/>
    </row>
    <row r="215" spans="2:2" ht="14.25" x14ac:dyDescent="0.2">
      <c r="B215"/>
    </row>
    <row r="216" spans="2:2" ht="14.25" x14ac:dyDescent="0.2">
      <c r="B216"/>
    </row>
    <row r="217" spans="2:2" ht="14.25" x14ac:dyDescent="0.2">
      <c r="B217"/>
    </row>
    <row r="218" spans="2:2" ht="14.25" x14ac:dyDescent="0.2">
      <c r="B218"/>
    </row>
    <row r="219" spans="2:2" ht="14.25" x14ac:dyDescent="0.2">
      <c r="B219"/>
    </row>
    <row r="220" spans="2:2" ht="14.25" x14ac:dyDescent="0.2">
      <c r="B220"/>
    </row>
    <row r="221" spans="2:2" ht="14.25" x14ac:dyDescent="0.2">
      <c r="B221"/>
    </row>
    <row r="222" spans="2:2" ht="14.25" x14ac:dyDescent="0.2">
      <c r="B222"/>
    </row>
    <row r="223" spans="2:2" ht="14.25" x14ac:dyDescent="0.2">
      <c r="B223"/>
    </row>
    <row r="224" spans="2:2" ht="14.25" x14ac:dyDescent="0.2">
      <c r="B224"/>
    </row>
    <row r="225" spans="2:2" ht="14.25" x14ac:dyDescent="0.2">
      <c r="B225"/>
    </row>
    <row r="226" spans="2:2" ht="14.25" x14ac:dyDescent="0.2">
      <c r="B226"/>
    </row>
    <row r="227" spans="2:2" ht="14.25" x14ac:dyDescent="0.2">
      <c r="B227"/>
    </row>
    <row r="228" spans="2:2" ht="14.25" x14ac:dyDescent="0.2">
      <c r="B228"/>
    </row>
    <row r="229" spans="2:2" ht="14.25" x14ac:dyDescent="0.2">
      <c r="B229"/>
    </row>
    <row r="230" spans="2:2" ht="14.25" x14ac:dyDescent="0.2">
      <c r="B230"/>
    </row>
    <row r="231" spans="2:2" ht="14.25" x14ac:dyDescent="0.2">
      <c r="B231"/>
    </row>
    <row r="232" spans="2:2" ht="14.25" x14ac:dyDescent="0.2">
      <c r="B232"/>
    </row>
    <row r="233" spans="2:2" ht="14.25" x14ac:dyDescent="0.2">
      <c r="B233"/>
    </row>
    <row r="234" spans="2:2" ht="14.25" x14ac:dyDescent="0.2">
      <c r="B234"/>
    </row>
    <row r="235" spans="2:2" ht="14.25" x14ac:dyDescent="0.2">
      <c r="B235"/>
    </row>
    <row r="236" spans="2:2" ht="14.25" x14ac:dyDescent="0.2">
      <c r="B236"/>
    </row>
    <row r="237" spans="2:2" ht="14.25" x14ac:dyDescent="0.2">
      <c r="B237"/>
    </row>
    <row r="238" spans="2:2" ht="14.25" x14ac:dyDescent="0.2">
      <c r="B238"/>
    </row>
    <row r="239" spans="2:2" ht="14.25" x14ac:dyDescent="0.2">
      <c r="B239"/>
    </row>
    <row r="240" spans="2:2" ht="14.25" x14ac:dyDescent="0.2">
      <c r="B240"/>
    </row>
    <row r="241" spans="2:2" ht="14.25" x14ac:dyDescent="0.2">
      <c r="B241"/>
    </row>
    <row r="242" spans="2:2" ht="14.25" x14ac:dyDescent="0.2">
      <c r="B242"/>
    </row>
    <row r="243" spans="2:2" ht="14.25" x14ac:dyDescent="0.2">
      <c r="B243"/>
    </row>
    <row r="244" spans="2:2" ht="14.25" x14ac:dyDescent="0.2">
      <c r="B244"/>
    </row>
    <row r="245" spans="2:2" ht="14.25" x14ac:dyDescent="0.2">
      <c r="B245"/>
    </row>
    <row r="246" spans="2:2" ht="14.25" x14ac:dyDescent="0.2">
      <c r="B246"/>
    </row>
    <row r="247" spans="2:2" ht="14.25" x14ac:dyDescent="0.2">
      <c r="B247"/>
    </row>
    <row r="248" spans="2:2" ht="14.25" x14ac:dyDescent="0.2">
      <c r="B248"/>
    </row>
    <row r="249" spans="2:2" ht="14.25" x14ac:dyDescent="0.2">
      <c r="B249"/>
    </row>
    <row r="250" spans="2:2" ht="14.25" x14ac:dyDescent="0.2">
      <c r="B250"/>
    </row>
    <row r="251" spans="2:2" ht="14.25" x14ac:dyDescent="0.2">
      <c r="B251"/>
    </row>
    <row r="252" spans="2:2" ht="14.25" x14ac:dyDescent="0.2">
      <c r="B252"/>
    </row>
    <row r="253" spans="2:2" ht="14.25" x14ac:dyDescent="0.2">
      <c r="B253"/>
    </row>
    <row r="254" spans="2:2" ht="14.25" x14ac:dyDescent="0.2">
      <c r="B254"/>
    </row>
    <row r="255" spans="2:2" ht="14.25" x14ac:dyDescent="0.2">
      <c r="B255"/>
    </row>
    <row r="256" spans="2:2" ht="14.25" x14ac:dyDescent="0.2">
      <c r="B256"/>
    </row>
    <row r="257" spans="2:2" ht="14.25" x14ac:dyDescent="0.2">
      <c r="B257"/>
    </row>
    <row r="258" spans="2:2" ht="14.25" x14ac:dyDescent="0.2">
      <c r="B258"/>
    </row>
    <row r="259" spans="2:2" ht="14.25" x14ac:dyDescent="0.2">
      <c r="B259"/>
    </row>
    <row r="260" spans="2:2" ht="14.25" x14ac:dyDescent="0.2">
      <c r="B260"/>
    </row>
    <row r="261" spans="2:2" ht="14.25" x14ac:dyDescent="0.2">
      <c r="B261"/>
    </row>
    <row r="262" spans="2:2" ht="14.25" x14ac:dyDescent="0.2">
      <c r="B262"/>
    </row>
  </sheetData>
  <sheetProtection algorithmName="SHA-512" hashValue="3NiAmfDWrZe5WXeG46evdTszcISoi2wai1GIY3CrNONTjjiL5UAZA3/rIaBmTP8RX1ZJ1vmIuswbJdxlJZfgQQ==" saltValue="EMI4kxaI8jWvY+HlWrMEMg==" spinCount="100000" sheet="1" objects="1" scenarios="1"/>
  <mergeCells count="3">
    <mergeCell ref="E1:H1"/>
    <mergeCell ref="K3:L3"/>
    <mergeCell ref="K4:L4"/>
  </mergeCells>
  <conditionalFormatting sqref="I1:I2">
    <cfRule type="expression" dxfId="5" priority="1">
      <formula>$I$2=""</formula>
    </cfRule>
  </conditionalFormatting>
  <pageMargins left="0.7" right="0.7" top="0.78740157499999996" bottom="0.78740157499999996" header="0.3" footer="0.3"/>
  <pageSetup paperSize="9" scale="15" fitToHeight="3"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P40"/>
  <sheetViews>
    <sheetView zoomScale="85" zoomScaleNormal="85" workbookViewId="0">
      <selection activeCell="L1" sqref="L1:M3"/>
    </sheetView>
  </sheetViews>
  <sheetFormatPr baseColWidth="10" defaultRowHeight="14.25" x14ac:dyDescent="0.2"/>
  <cols>
    <col min="1" max="1" width="27.375" customWidth="1"/>
    <col min="2" max="2" width="13" customWidth="1"/>
    <col min="3" max="3" width="13.5" customWidth="1"/>
    <col min="4" max="4" width="24.75" bestFit="1" customWidth="1"/>
    <col min="5" max="5" width="27.75" customWidth="1"/>
    <col min="6" max="6" width="18.875" customWidth="1"/>
    <col min="7" max="7" width="20.75" customWidth="1"/>
    <col min="8" max="8" width="19.375" customWidth="1"/>
    <col min="9" max="9" width="18.125" customWidth="1"/>
    <col min="10" max="13" width="16.625" customWidth="1"/>
    <col min="15" max="16" width="11" hidden="1" customWidth="1"/>
  </cols>
  <sheetData>
    <row r="1" spans="1:15" ht="39" customHeight="1" thickBot="1" x14ac:dyDescent="0.25">
      <c r="A1" s="559" t="str">
        <f>IF(OR('Begr.-Rechner BIO'!$A$2="Name der Mischung",'Begr.-Rechner BIO'!$A$2=""),"Zusammenfassung der gewählten Kulturen",CONCATENATE("Zusammenfassung der Komponeten der Mischung: ",'Begr.-Rechner BIO'!$A$2))</f>
        <v>Zusammenfassung der gewählten Kulturen</v>
      </c>
      <c r="B1" s="560"/>
      <c r="C1" s="560"/>
      <c r="D1" s="560"/>
      <c r="E1" s="560"/>
      <c r="F1" s="560"/>
      <c r="G1" s="560"/>
      <c r="H1" s="560"/>
      <c r="I1" s="561"/>
      <c r="J1" s="618" t="s">
        <v>857</v>
      </c>
      <c r="K1" s="619"/>
      <c r="L1" s="612" t="s">
        <v>856</v>
      </c>
      <c r="M1" s="613"/>
    </row>
    <row r="2" spans="1:15" ht="15" customHeight="1" thickBot="1" x14ac:dyDescent="0.25">
      <c r="I2" s="151"/>
      <c r="J2" s="620"/>
      <c r="K2" s="621"/>
      <c r="L2" s="614"/>
      <c r="M2" s="615"/>
    </row>
    <row r="3" spans="1:15" ht="58.5" customHeight="1" thickBot="1" x14ac:dyDescent="0.25">
      <c r="A3" s="265" t="s">
        <v>286</v>
      </c>
      <c r="B3" s="265" t="s">
        <v>290</v>
      </c>
      <c r="C3" s="265" t="s">
        <v>292</v>
      </c>
      <c r="D3" s="265" t="s">
        <v>287</v>
      </c>
      <c r="E3" s="264" t="str">
        <f>CONCATENATE("Kosten in € für die Gesamtfläche von ",'Begr.-Rechner BIO'!I2," ha")</f>
        <v>Kosten in € für die Gesamtfläche von  ha</v>
      </c>
      <c r="F3" s="550" t="s">
        <v>465</v>
      </c>
      <c r="G3" s="551"/>
      <c r="H3" s="624" t="s">
        <v>548</v>
      </c>
      <c r="I3" s="625"/>
      <c r="J3" s="622"/>
      <c r="K3" s="623"/>
      <c r="L3" s="616"/>
      <c r="M3" s="617"/>
    </row>
    <row r="4" spans="1:15" ht="26.25" customHeight="1" thickBot="1" x14ac:dyDescent="0.25">
      <c r="A4" s="147" t="str">
        <f>IF('Begr.-Rechner BIO'!$I$2&lt;&gt;"",CONCATENATE('Begr.-Rechner BIO'!$I$2," ha"),"")</f>
        <v/>
      </c>
      <c r="B4" s="344" t="str">
        <f>IF('Begr.-Rechner BIO'!$J$2&gt;0,CONCATENATE('Begr.-Rechner BIO'!$J$2, " kg/ha"),"")</f>
        <v/>
      </c>
      <c r="C4" s="147" t="str">
        <f>IF('Begr.-Rechner BIO'!$K$2&gt;0,CONCATENATE('Begr.-Rechner BIO'!$K$2," €"),"")</f>
        <v/>
      </c>
      <c r="D4" s="345" t="str">
        <f>IF('Begr.-Rechner BIO'!$L$2&gt;0,'Begr.-Rechner BIO'!$L$2,"")</f>
        <v/>
      </c>
      <c r="E4" s="147" t="str">
        <f>IF(ROUND(SUM(F7:F39),2)&gt;0,CONCATENATE(ROUND(SUM(F7:F39),2)," €"),"")</f>
        <v/>
      </c>
      <c r="F4" s="552" t="str">
        <f>IF(AND('BIO (2)'!Z3="",'BIO (2)'!Z4="",'BIO (2)'!Z5="",'BIO (2)'!Z6="",'BIO (2)'!Z7="",'BIO (2)'!Z8="",'BIO (2)'!Z9="",'BIO (2)'!J2&gt;0),'BIO (2)'!Z10,CONCATENATE('BIO (2)'!Z3,'BIO (2)'!Z4,'BIO (2)'!Z5,'BIO (2)'!Z6,'BIO (2)'!Z7,'BIO (2)'!Z8,'BIO (2)'!Z9))</f>
        <v/>
      </c>
      <c r="G4" s="553"/>
      <c r="H4" s="556" t="str">
        <f>IF(AND($D4&gt;0,$P$40=0),$P$40,IF(AND($D4&gt;0,$P$40&gt;0),$P$40,""))</f>
        <v/>
      </c>
      <c r="I4" s="557"/>
      <c r="J4" s="554" t="str">
        <f>IF('BIO (2)'!$R$3="ja","* zulässige Begrünungskulturen gem. Variante 6 beachten:
- Grünschnittroggen nach Saatgutgesetz,
- Wintererbse lt. Saatgutgesetz,
- Pannonische Wicke, Zottelwicke, Winterackerbohne, Winterrübsen (inkl. Perko)","")</f>
        <v/>
      </c>
      <c r="K4" s="554"/>
      <c r="L4" s="554"/>
      <c r="M4" s="554"/>
    </row>
    <row r="5" spans="1:15" ht="15" customHeight="1" thickBot="1" x14ac:dyDescent="0.25">
      <c r="F5" s="536"/>
      <c r="G5" s="536"/>
      <c r="H5" s="253"/>
      <c r="I5" s="266"/>
      <c r="J5" s="555"/>
      <c r="K5" s="555"/>
      <c r="L5" s="555"/>
      <c r="M5" s="555"/>
    </row>
    <row r="6" spans="1:15" ht="30" customHeight="1" thickBot="1" x14ac:dyDescent="0.25">
      <c r="A6" s="264" t="s">
        <v>289</v>
      </c>
      <c r="B6" s="264" t="s">
        <v>5</v>
      </c>
      <c r="C6" s="264" t="s">
        <v>1</v>
      </c>
      <c r="D6" s="264" t="s">
        <v>288</v>
      </c>
      <c r="E6" s="264" t="s">
        <v>293</v>
      </c>
      <c r="F6" s="264" t="s">
        <v>291</v>
      </c>
      <c r="G6" s="264" t="s">
        <v>312</v>
      </c>
      <c r="H6" s="550" t="s">
        <v>547</v>
      </c>
      <c r="I6" s="610"/>
      <c r="J6" s="555"/>
      <c r="K6" s="555"/>
      <c r="L6" s="555"/>
      <c r="M6" s="555"/>
    </row>
    <row r="7" spans="1:15" ht="24.95" customHeight="1" thickBot="1" x14ac:dyDescent="0.25">
      <c r="A7" s="420" t="str">
        <f t="array" ref="A7">IFERROR(INDEX('BIO (2)'!A:A,SMALL(IF('BIO (2)'!$E$3:$E$57&gt;0,ROW($3:$57)),ROW(A1))),"")</f>
        <v/>
      </c>
      <c r="B7" s="326" t="str">
        <f t="array" ref="B7">IFERROR(INDEX('BIO (2)'!E:E,SMALL(IF('BIO (2)'!$E$3:$E$57&gt;0,ROW($3:$57)),ROW(A1))),"")</f>
        <v/>
      </c>
      <c r="C7" s="326" t="str">
        <f t="array" ref="C7">IFERROR(INDEX('BIO (2)'!F:F,SMALL(IF('BIO (2)'!$E$3:$E$57&gt;0,ROW($3:$57)),ROW(A1))),"")</f>
        <v/>
      </c>
      <c r="D7" s="422" t="str">
        <f t="array" ref="D7">IFERROR(INDEX('BIO (2)'!G:G,SMALL(IF('BIO (2)'!$E$3:$E$57&gt;0,ROW($3:$57)),ROW(A1))),"")</f>
        <v/>
      </c>
      <c r="E7" s="326" t="str">
        <f t="array" ref="E7">IFERROR(INDEX('BIO (2)'!H:H,SMALL(IF('BIO (2)'!$E$3:$E$57&gt;0,ROW($3:$57)),ROW(A1))),"")</f>
        <v/>
      </c>
      <c r="F7" s="326" t="str">
        <f>IF(A7="","",C7*'Begr.-Rechner BIO'!$I$2)</f>
        <v/>
      </c>
      <c r="G7" s="326" t="str">
        <f>IFERROR(VLOOKUP(A7,'BIO (2)'!A3:I57,9,0),IF('BIO (2)'!I3="","",""))</f>
        <v/>
      </c>
      <c r="H7" s="562" t="s">
        <v>1080</v>
      </c>
      <c r="I7" s="611" t="str">
        <f>'Begr.-Rechner BIO'!L8</f>
        <v>60 kg N ab Lager</v>
      </c>
      <c r="J7" s="558" t="str">
        <f>IF(AND(H4&gt;0.6,'Begr.-Rechner BIO'!J2&gt;0),"ACHTUNG Vorfruchtwirkung beachten: 
- ungenutzte ZWF &gt; 60 % Leguminosenanteil: 20 kg
- genutzte ZWF &gt; 60% Leguminosenanteil: 10 kg N
  HINWEIS: es zählt Bestand am Feld, dieser Hinweis ist ausschließlich als 
  Orientierungshilfe zu sehen.","")</f>
        <v/>
      </c>
      <c r="K7" s="555"/>
      <c r="L7" s="555"/>
      <c r="M7" s="555"/>
      <c r="O7" s="231">
        <f>IF($G7="Leguminose",D7,0)</f>
        <v>0</v>
      </c>
    </row>
    <row r="8" spans="1:15" ht="24.95" customHeight="1" thickBot="1" x14ac:dyDescent="0.25">
      <c r="A8" s="420" t="str">
        <f t="array" ref="A8">IFERROR(INDEX('BIO (2)'!A:A,SMALL(IF('BIO (2)'!$E$3:$E$57&gt;0,ROW($3:$57)),ROW(A2))),"")</f>
        <v/>
      </c>
      <c r="B8" s="326" t="str">
        <f t="array" ref="B8">IFERROR(INDEX('BIO (2)'!E:E,SMALL(IF('BIO (2)'!$E$3:$E$57&gt;0,ROW($3:$57)),ROW(A2))),"")</f>
        <v/>
      </c>
      <c r="C8" s="326" t="str">
        <f t="array" ref="C8">IFERROR(INDEX('BIO (2)'!F:F,SMALL(IF('BIO (2)'!$E$3:$E$57&gt;0,ROW($3:$57)),ROW(A2))),"")</f>
        <v/>
      </c>
      <c r="D8" s="422" t="str">
        <f t="array" ref="D8">IFERROR(INDEX('BIO (2)'!G:G,SMALL(IF('BIO (2)'!$E$3:$E$57&gt;0,ROW($3:$57)),ROW(A2))),"")</f>
        <v/>
      </c>
      <c r="E8" s="326" t="str">
        <f t="array" ref="E8">IFERROR(INDEX('BIO (2)'!H:H,SMALL(IF('BIO (2)'!$E$3:$E$57&gt;0,ROW($3:$57)),ROW(A2))),"")</f>
        <v/>
      </c>
      <c r="F8" s="326" t="str">
        <f>IF(A8="","",C8*'Begr.-Rechner BIO'!$I$2)</f>
        <v/>
      </c>
      <c r="G8" s="326" t="str">
        <f>IFERROR(VLOOKUP(A8,'BIO (2)'!A4:I58,9,0),IF('BIO (2)'!I4="","",""))</f>
        <v/>
      </c>
      <c r="H8" s="562"/>
      <c r="I8" s="611"/>
      <c r="J8" s="558"/>
      <c r="K8" s="555"/>
      <c r="L8" s="555"/>
      <c r="M8" s="555"/>
      <c r="O8" s="231">
        <f t="shared" ref="O8:O39" si="0">IF($G8="Leguminose",D8,0)</f>
        <v>0</v>
      </c>
    </row>
    <row r="9" spans="1:15" ht="24.95" customHeight="1" thickBot="1" x14ac:dyDescent="0.25">
      <c r="A9" s="420" t="str">
        <f t="array" ref="A9">IFERROR(INDEX('BIO (2)'!A:A,SMALL(IF('BIO (2)'!$E$3:$E$57&gt;0,ROW($3:$57)),ROW(A3))),"")</f>
        <v/>
      </c>
      <c r="B9" s="326" t="str">
        <f t="array" ref="B9">IFERROR(INDEX('BIO (2)'!E:E,SMALL(IF('BIO (2)'!$E$3:$E$57&gt;0,ROW($3:$57)),ROW(A3))),"")</f>
        <v/>
      </c>
      <c r="C9" s="326" t="str">
        <f t="array" ref="C9">IFERROR(INDEX('BIO (2)'!F:F,SMALL(IF('BIO (2)'!$E$3:$E$57&gt;0,ROW($3:$57)),ROW(A3))),"")</f>
        <v/>
      </c>
      <c r="D9" s="422" t="str">
        <f t="array" ref="D9">IFERROR(INDEX('BIO (2)'!G:G,SMALL(IF('BIO (2)'!$E$3:$E$57&gt;0,ROW($3:$57)),ROW(A3))),"")</f>
        <v/>
      </c>
      <c r="E9" s="326" t="str">
        <f t="array" ref="E9">IFERROR(INDEX('BIO (2)'!H:H,SMALL(IF('BIO (2)'!$E$3:$E$57&gt;0,ROW($3:$57)),ROW(A3))),"")</f>
        <v/>
      </c>
      <c r="F9" s="326" t="str">
        <f>IF(A9="","",C9*'Begr.-Rechner BIO'!$I$2)</f>
        <v/>
      </c>
      <c r="G9" s="326" t="str">
        <f>IFERROR(VLOOKUP(A9,'BIO (2)'!A5:I59,9,0),IF('BIO (2)'!I5="","",""))</f>
        <v/>
      </c>
      <c r="H9" s="562" t="s">
        <v>1087</v>
      </c>
      <c r="I9" s="611" t="str">
        <f>'Begr.-Rechner BIO'!L10</f>
        <v>60 kg N ab Lager</v>
      </c>
      <c r="J9" s="558"/>
      <c r="K9" s="555"/>
      <c r="L9" s="555"/>
      <c r="M9" s="555"/>
      <c r="O9" s="231">
        <f t="shared" si="0"/>
        <v>0</v>
      </c>
    </row>
    <row r="10" spans="1:15" ht="24.95" customHeight="1" thickBot="1" x14ac:dyDescent="0.25">
      <c r="A10" s="420" t="str">
        <f t="array" ref="A10">IFERROR(INDEX('BIO (2)'!A:A,SMALL(IF('BIO (2)'!$E$3:$E$57&gt;0,ROW($3:$57)),ROW(A4))),"")</f>
        <v/>
      </c>
      <c r="B10" s="326" t="str">
        <f t="array" ref="B10">IFERROR(INDEX('BIO (2)'!E:E,SMALL(IF('BIO (2)'!$E$3:$E$57&gt;0,ROW($3:$57)),ROW(A4))),"")</f>
        <v/>
      </c>
      <c r="C10" s="326" t="str">
        <f t="array" ref="C10">IFERROR(INDEX('BIO (2)'!F:F,SMALL(IF('BIO (2)'!$E$3:$E$57&gt;0,ROW($3:$57)),ROW(A4))),"")</f>
        <v/>
      </c>
      <c r="D10" s="422" t="str">
        <f t="array" ref="D10">IFERROR(INDEX('BIO (2)'!G:G,SMALL(IF('BIO (2)'!$E$3:$E$57&gt;0,ROW($3:$57)),ROW(A4))),"")</f>
        <v/>
      </c>
      <c r="E10" s="326" t="str">
        <f t="array" ref="E10">IFERROR(INDEX('BIO (2)'!H:H,SMALL(IF('BIO (2)'!$E$3:$E$57&gt;0,ROW($3:$57)),ROW(A4))),"")</f>
        <v/>
      </c>
      <c r="F10" s="326" t="str">
        <f>IF(A10="","",C10*'Begr.-Rechner BIO'!$I$2)</f>
        <v/>
      </c>
      <c r="G10" s="326" t="str">
        <f>IFERROR(VLOOKUP(A10,'BIO (2)'!A6:I60,9,0),IF('BIO (2)'!I6="","",""))</f>
        <v/>
      </c>
      <c r="H10" s="562"/>
      <c r="I10" s="611"/>
      <c r="J10" s="558"/>
      <c r="K10" s="555"/>
      <c r="L10" s="555"/>
      <c r="M10" s="555"/>
      <c r="O10" s="231">
        <f t="shared" si="0"/>
        <v>0</v>
      </c>
    </row>
    <row r="11" spans="1:15" ht="24.95" customHeight="1" thickBot="1" x14ac:dyDescent="0.25">
      <c r="A11" s="420" t="str">
        <f t="array" ref="A11">IFERROR(INDEX('BIO (2)'!A:A,SMALL(IF('BIO (2)'!$E$3:$E$57&gt;0,ROW($3:$57)),ROW(A5))),"")</f>
        <v/>
      </c>
      <c r="B11" s="326" t="str">
        <f t="array" ref="B11">IFERROR(INDEX('BIO (2)'!E:E,SMALL(IF('BIO (2)'!$E$3:$E$57&gt;0,ROW($3:$57)),ROW(A5))),"")</f>
        <v/>
      </c>
      <c r="C11" s="326" t="str">
        <f t="array" ref="C11">IFERROR(INDEX('BIO (2)'!F:F,SMALL(IF('BIO (2)'!$E$3:$E$57&gt;0,ROW($3:$57)),ROW(A5))),"")</f>
        <v/>
      </c>
      <c r="D11" s="422" t="str">
        <f t="array" ref="D11">IFERROR(INDEX('BIO (2)'!G:G,SMALL(IF('BIO (2)'!$E$3:$E$57&gt;0,ROW($3:$57)),ROW(A5))),"")</f>
        <v/>
      </c>
      <c r="E11" s="326" t="str">
        <f t="array" ref="E11">IFERROR(INDEX('BIO (2)'!H:H,SMALL(IF('BIO (2)'!$E$3:$E$57&gt;0,ROW($3:$57)),ROW(A5))),"")</f>
        <v/>
      </c>
      <c r="F11" s="326" t="str">
        <f>IF(A11="","",C11*'Begr.-Rechner BIO'!$I$2)</f>
        <v/>
      </c>
      <c r="G11" s="326" t="str">
        <f>IFERROR(VLOOKUP(A11,'BIO (2)'!A7:I61,9,0),IF('BIO (2)'!I7="","",""))</f>
        <v/>
      </c>
      <c r="H11" s="562"/>
      <c r="I11" s="611"/>
      <c r="J11" s="558"/>
      <c r="K11" s="555"/>
      <c r="L11" s="555"/>
      <c r="M11" s="555"/>
      <c r="O11" s="231">
        <f t="shared" si="0"/>
        <v>0</v>
      </c>
    </row>
    <row r="12" spans="1:15" ht="24.95" customHeight="1" x14ac:dyDescent="0.2">
      <c r="A12" s="420" t="str">
        <f t="array" ref="A12">IFERROR(INDEX('BIO (2)'!A:A,SMALL(IF('BIO (2)'!$E$3:$E$57&gt;0,ROW($3:$57)),ROW(A6))),"")</f>
        <v/>
      </c>
      <c r="B12" s="326" t="str">
        <f t="array" ref="B12">IFERROR(INDEX('BIO (2)'!E:E,SMALL(IF('BIO (2)'!$E$3:$E$57&gt;0,ROW($3:$57)),ROW(A6))),"")</f>
        <v/>
      </c>
      <c r="C12" s="326" t="str">
        <f t="array" ref="C12">IFERROR(INDEX('BIO (2)'!F:F,SMALL(IF('BIO (2)'!$E$3:$E$57&gt;0,ROW($3:$57)),ROW(A6))),"")</f>
        <v/>
      </c>
      <c r="D12" s="422" t="str">
        <f t="array" ref="D12">IFERROR(INDEX('BIO (2)'!G:G,SMALL(IF('BIO (2)'!$E$3:$E$57&gt;0,ROW($3:$57)),ROW(A6))),"")</f>
        <v/>
      </c>
      <c r="E12" s="326" t="str">
        <f t="array" ref="E12">IFERROR(INDEX('BIO (2)'!H:H,SMALL(IF('BIO (2)'!$E$3:$E$57&gt;0,ROW($3:$57)),ROW(A6))),"")</f>
        <v/>
      </c>
      <c r="F12" s="326" t="str">
        <f>IF(A12="","",C12*'Begr.-Rechner BIO'!$I$2)</f>
        <v/>
      </c>
      <c r="G12" s="326" t="str">
        <f>IFERROR(VLOOKUP(A12,'BIO (2)'!A8:I62,9,0),IF('BIO (2)'!I8="","",""))</f>
        <v/>
      </c>
      <c r="H12" s="532" t="s">
        <v>1081</v>
      </c>
      <c r="I12" s="533"/>
      <c r="J12" s="262"/>
      <c r="K12" s="263"/>
      <c r="O12" s="231">
        <f t="shared" si="0"/>
        <v>0</v>
      </c>
    </row>
    <row r="13" spans="1:15" ht="24.95" customHeight="1" x14ac:dyDescent="0.2">
      <c r="A13" s="420" t="str">
        <f t="array" ref="A13">IFERROR(INDEX('BIO (2)'!A:A,SMALL(IF('BIO (2)'!$E$3:$E$57&gt;0,ROW($3:$57)),ROW(A7))),"")</f>
        <v/>
      </c>
      <c r="B13" s="326" t="str">
        <f t="array" ref="B13">IFERROR(INDEX('BIO (2)'!E:E,SMALL(IF('BIO (2)'!$E$3:$E$57&gt;0,ROW($3:$57)),ROW(A7))),"")</f>
        <v/>
      </c>
      <c r="C13" s="326" t="str">
        <f t="array" ref="C13">IFERROR(INDEX('BIO (2)'!F:F,SMALL(IF('BIO (2)'!$E$3:$E$57&gt;0,ROW($3:$57)),ROW(A7))),"")</f>
        <v/>
      </c>
      <c r="D13" s="422" t="str">
        <f t="array" ref="D13">IFERROR(INDEX('BIO (2)'!G:G,SMALL(IF('BIO (2)'!$E$3:$E$57&gt;0,ROW($3:$57)),ROW(A7))),"")</f>
        <v/>
      </c>
      <c r="E13" s="326" t="str">
        <f t="array" ref="E13">IFERROR(INDEX('BIO (2)'!H:H,SMALL(IF('BIO (2)'!$E$3:$E$57&gt;0,ROW($3:$57)),ROW(A7))),"")</f>
        <v/>
      </c>
      <c r="F13" s="326" t="str">
        <f>IF(A13="","",C13*'Begr.-Rechner BIO'!$I$2)</f>
        <v/>
      </c>
      <c r="G13" s="326" t="str">
        <f>IFERROR(VLOOKUP(A13,'BIO (2)'!A9:I63,9,0),IF('BIO (2)'!I9="","",""))</f>
        <v/>
      </c>
      <c r="H13" s="447"/>
      <c r="I13" s="449"/>
      <c r="J13" s="262"/>
      <c r="K13" s="263"/>
      <c r="O13" s="231">
        <f t="shared" si="0"/>
        <v>0</v>
      </c>
    </row>
    <row r="14" spans="1:15" ht="24.95" customHeight="1" x14ac:dyDescent="0.2">
      <c r="A14" s="420" t="str">
        <f t="array" ref="A14">IFERROR(INDEX('BIO (2)'!A:A,SMALL(IF('BIO (2)'!$E$3:$E$57&gt;0,ROW($3:$57)),ROW(A8))),"")</f>
        <v/>
      </c>
      <c r="B14" s="326" t="str">
        <f t="array" ref="B14">IFERROR(INDEX('BIO (2)'!E:E,SMALL(IF('BIO (2)'!$E$3:$E$57&gt;0,ROW($3:$57)),ROW(A8))),"")</f>
        <v/>
      </c>
      <c r="C14" s="326" t="str">
        <f t="array" ref="C14">IFERROR(INDEX('BIO (2)'!F:F,SMALL(IF('BIO (2)'!$E$3:$E$57&gt;0,ROW($3:$57)),ROW(A8))),"")</f>
        <v/>
      </c>
      <c r="D14" s="422" t="str">
        <f t="array" ref="D14">IFERROR(INDEX('BIO (2)'!G:G,SMALL(IF('BIO (2)'!$E$3:$E$57&gt;0,ROW($3:$57)),ROW(A8))),"")</f>
        <v/>
      </c>
      <c r="E14" s="326" t="str">
        <f t="array" ref="E14">IFERROR(INDEX('BIO (2)'!H:H,SMALL(IF('BIO (2)'!$E$3:$E$57&gt;0,ROW($3:$57)),ROW(A8))),"")</f>
        <v/>
      </c>
      <c r="F14" s="326" t="str">
        <f>IF(A14="","",C14*'Begr.-Rechner BIO'!$I$2)</f>
        <v/>
      </c>
      <c r="G14" s="326" t="str">
        <f>IFERROR(VLOOKUP(A14,'BIO (2)'!A10:I64,9,0),IF('BIO (2)'!I10="","",""))</f>
        <v/>
      </c>
      <c r="H14" s="447"/>
      <c r="I14" s="449"/>
      <c r="J14" s="262"/>
      <c r="O14" s="231">
        <f t="shared" si="0"/>
        <v>0</v>
      </c>
    </row>
    <row r="15" spans="1:15" ht="24.95" customHeight="1" x14ac:dyDescent="0.2">
      <c r="A15" s="420" t="str">
        <f t="array" ref="A15">IFERROR(INDEX('BIO (2)'!A:A,SMALL(IF('BIO (2)'!$E$3:$E$57&gt;0,ROW($3:$57)),ROW(A9))),"")</f>
        <v/>
      </c>
      <c r="B15" s="326" t="str">
        <f t="array" ref="B15">IFERROR(INDEX('BIO (2)'!E:E,SMALL(IF('BIO (2)'!$E$3:$E$57&gt;0,ROW($3:$57)),ROW(A9))),"")</f>
        <v/>
      </c>
      <c r="C15" s="326" t="str">
        <f t="array" ref="C15">IFERROR(INDEX('BIO (2)'!F:F,SMALL(IF('BIO (2)'!$E$3:$E$57&gt;0,ROW($3:$57)),ROW(A9))),"")</f>
        <v/>
      </c>
      <c r="D15" s="422" t="str">
        <f t="array" ref="D15">IFERROR(INDEX('BIO (2)'!G:G,SMALL(IF('BIO (2)'!$E$3:$E$57&gt;0,ROW($3:$57)),ROW(A9))),"")</f>
        <v/>
      </c>
      <c r="E15" s="326" t="str">
        <f t="array" ref="E15">IFERROR(INDEX('BIO (2)'!H:H,SMALL(IF('BIO (2)'!$E$3:$E$57&gt;0,ROW($3:$57)),ROW(A9))),"")</f>
        <v/>
      </c>
      <c r="F15" s="326" t="str">
        <f>IF(A15="","",C15*'Begr.-Rechner BIO'!$I$2)</f>
        <v/>
      </c>
      <c r="G15" s="326" t="str">
        <f>IFERROR(VLOOKUP(A15,'BIO (2)'!A11:I65,9,0),IF('BIO (2)'!I11="","",""))</f>
        <v/>
      </c>
      <c r="H15" s="447"/>
      <c r="I15" s="449"/>
      <c r="J15" s="262"/>
      <c r="M15" s="149"/>
      <c r="O15" s="231">
        <f t="shared" si="0"/>
        <v>0</v>
      </c>
    </row>
    <row r="16" spans="1:15" ht="24.95" customHeight="1" thickBot="1" x14ac:dyDescent="0.25">
      <c r="A16" s="420" t="str">
        <f t="array" ref="A16">IFERROR(INDEX('BIO (2)'!A:A,SMALL(IF('BIO (2)'!$E$3:$E$57&gt;0,ROW($3:$57)),ROW(A10))),"")</f>
        <v/>
      </c>
      <c r="B16" s="326" t="str">
        <f t="array" ref="B16">IFERROR(INDEX('BIO (2)'!E:E,SMALL(IF('BIO (2)'!$E$3:$E$57&gt;0,ROW($3:$57)),ROW(A10))),"")</f>
        <v/>
      </c>
      <c r="C16" s="326" t="str">
        <f t="array" ref="C16">IFERROR(INDEX('BIO (2)'!F:F,SMALL(IF('BIO (2)'!$E$3:$E$57&gt;0,ROW($3:$57)),ROW(A10))),"")</f>
        <v/>
      </c>
      <c r="D16" s="422" t="str">
        <f t="array" ref="D16">IFERROR(INDEX('BIO (2)'!G:G,SMALL(IF('BIO (2)'!$E$3:$E$57&gt;0,ROW($3:$57)),ROW(A10))),"")</f>
        <v/>
      </c>
      <c r="E16" s="326" t="str">
        <f t="array" ref="E16">IFERROR(INDEX('BIO (2)'!H:H,SMALL(IF('BIO (2)'!$E$3:$E$57&gt;0,ROW($3:$57)),ROW(A10))),"")</f>
        <v/>
      </c>
      <c r="F16" s="326" t="str">
        <f>IF(A16="","",C16*'Begr.-Rechner BIO'!$I$2)</f>
        <v/>
      </c>
      <c r="G16" s="326" t="str">
        <f>IFERROR(VLOOKUP(A16,'BIO (2)'!A12:I66,9,0),IF('BIO (2)'!I12="","",""))</f>
        <v/>
      </c>
      <c r="H16" s="534"/>
      <c r="I16" s="535"/>
      <c r="J16" s="262"/>
      <c r="O16" s="231">
        <f t="shared" si="0"/>
        <v>0</v>
      </c>
    </row>
    <row r="17" spans="1:15" ht="24.95" customHeight="1" x14ac:dyDescent="0.2">
      <c r="A17" s="420" t="str">
        <f t="array" ref="A17">IFERROR(INDEX('BIO (2)'!A:A,SMALL(IF('BIO (2)'!$E$3:$E$57&gt;0,ROW($3:$57)),ROW(A11))),"")</f>
        <v/>
      </c>
      <c r="B17" s="326" t="str">
        <f t="array" ref="B17">IFERROR(INDEX('BIO (2)'!E:E,SMALL(IF('BIO (2)'!$E$3:$E$57&gt;0,ROW($3:$57)),ROW(A11))),"")</f>
        <v/>
      </c>
      <c r="C17" s="326" t="str">
        <f t="array" ref="C17">IFERROR(INDEX('BIO (2)'!F:F,SMALL(IF('BIO (2)'!$E$3:$E$57&gt;0,ROW($3:$57)),ROW(A11))),"")</f>
        <v/>
      </c>
      <c r="D17" s="422" t="str">
        <f t="array" ref="D17">IFERROR(INDEX('BIO (2)'!G:G,SMALL(IF('BIO (2)'!$E$3:$E$57&gt;0,ROW($3:$57)),ROW(A11))),"")</f>
        <v/>
      </c>
      <c r="E17" s="326" t="str">
        <f t="array" ref="E17">IFERROR(INDEX('BIO (2)'!H:H,SMALL(IF('BIO (2)'!$E$3:$E$57&gt;0,ROW($3:$57)),ROW(A11))),"")</f>
        <v/>
      </c>
      <c r="F17" s="326" t="str">
        <f>IF(A17="","",C17*'Begr.-Rechner BIO'!$I$2)</f>
        <v/>
      </c>
      <c r="G17" s="326" t="str">
        <f>IFERROR(VLOOKUP(A17,'BIO (2)'!A13:I67,9,0),IF('BIO (2)'!I13="","",""))</f>
        <v/>
      </c>
      <c r="H17" s="214"/>
      <c r="I17" s="214"/>
      <c r="O17" s="231">
        <f t="shared" si="0"/>
        <v>0</v>
      </c>
    </row>
    <row r="18" spans="1:15" ht="24.95" customHeight="1" x14ac:dyDescent="0.2">
      <c r="A18" s="420" t="str">
        <f t="array" ref="A18">IFERROR(INDEX('BIO (2)'!A:A,SMALL(IF('BIO (2)'!$E$3:$E$57&gt;0,ROW($3:$57)),ROW(A12))),"")</f>
        <v/>
      </c>
      <c r="B18" s="326" t="str">
        <f t="array" ref="B18">IFERROR(INDEX('BIO (2)'!E:E,SMALL(IF('BIO (2)'!$E$3:$E$57&gt;0,ROW($3:$57)),ROW(A12))),"")</f>
        <v/>
      </c>
      <c r="C18" s="326" t="str">
        <f t="array" ref="C18">IFERROR(INDEX('BIO (2)'!F:F,SMALL(IF('BIO (2)'!$E$3:$E$57&gt;0,ROW($3:$57)),ROW(A12))),"")</f>
        <v/>
      </c>
      <c r="D18" s="422" t="str">
        <f t="array" ref="D18">IFERROR(INDEX('BIO (2)'!G:G,SMALL(IF('BIO (2)'!$E$3:$E$57&gt;0,ROW($3:$57)),ROW(A12))),"")</f>
        <v/>
      </c>
      <c r="E18" s="326" t="str">
        <f t="array" ref="E18">IFERROR(INDEX('BIO (2)'!H:H,SMALL(IF('BIO (2)'!$E$3:$E$57&gt;0,ROW($3:$57)),ROW(A12))),"")</f>
        <v/>
      </c>
      <c r="F18" s="326" t="str">
        <f>IF(A18="","",C18*'Begr.-Rechner BIO'!$I$2)</f>
        <v/>
      </c>
      <c r="G18" s="326" t="str">
        <f>IFERROR(VLOOKUP(A18,'BIO (2)'!A14:I68,9,0),IF('BIO (2)'!I14="","",""))</f>
        <v/>
      </c>
      <c r="H18" s="214"/>
      <c r="I18" s="214"/>
      <c r="O18" s="231">
        <f t="shared" si="0"/>
        <v>0</v>
      </c>
    </row>
    <row r="19" spans="1:15" ht="24.95" customHeight="1" x14ac:dyDescent="0.2">
      <c r="A19" s="420" t="str">
        <f t="array" ref="A19">IFERROR(INDEX('BIO (2)'!A:A,SMALL(IF('BIO (2)'!$E$3:$E$57&gt;0,ROW($3:$57)),ROW(A13))),"")</f>
        <v/>
      </c>
      <c r="B19" s="326" t="str">
        <f t="array" ref="B19">IFERROR(INDEX('BIO (2)'!E:E,SMALL(IF('BIO (2)'!$E$3:$E$57&gt;0,ROW($3:$57)),ROW(A13))),"")</f>
        <v/>
      </c>
      <c r="C19" s="326" t="str">
        <f t="array" ref="C19">IFERROR(INDEX('BIO (2)'!F:F,SMALL(IF('BIO (2)'!$E$3:$E$57&gt;0,ROW($3:$57)),ROW(A13))),"")</f>
        <v/>
      </c>
      <c r="D19" s="422" t="str">
        <f t="array" ref="D19">IFERROR(INDEX('BIO (2)'!G:G,SMALL(IF('BIO (2)'!$E$3:$E$57&gt;0,ROW($3:$57)),ROW(A13))),"")</f>
        <v/>
      </c>
      <c r="E19" s="326" t="str">
        <f t="array" ref="E19">IFERROR(INDEX('BIO (2)'!H:H,SMALL(IF('BIO (2)'!$E$3:$E$57&gt;0,ROW($3:$57)),ROW(A13))),"")</f>
        <v/>
      </c>
      <c r="F19" s="326" t="str">
        <f>IF(A19="","",C19*'Begr.-Rechner BIO'!$I$2)</f>
        <v/>
      </c>
      <c r="G19" s="326" t="str">
        <f>IFERROR(VLOOKUP(A19,'BIO (2)'!A15:I69,9,0),IF('BIO (2)'!I15="","",""))</f>
        <v/>
      </c>
      <c r="H19" s="214"/>
      <c r="I19" s="214"/>
      <c r="O19" s="231">
        <f t="shared" si="0"/>
        <v>0</v>
      </c>
    </row>
    <row r="20" spans="1:15" ht="24.95" customHeight="1" x14ac:dyDescent="0.2">
      <c r="A20" s="420" t="str">
        <f t="array" ref="A20">IFERROR(INDEX('BIO (2)'!A:A,SMALL(IF('BIO (2)'!$E$3:$E$57&gt;0,ROW($3:$57)),ROW(A14))),"")</f>
        <v/>
      </c>
      <c r="B20" s="326" t="str">
        <f t="array" ref="B20">IFERROR(INDEX('BIO (2)'!E:E,SMALL(IF('BIO (2)'!$E$3:$E$57&gt;0,ROW($3:$57)),ROW(A14))),"")</f>
        <v/>
      </c>
      <c r="C20" s="326" t="str">
        <f t="array" ref="C20">IFERROR(INDEX('BIO (2)'!F:F,SMALL(IF('BIO (2)'!$E$3:$E$57&gt;0,ROW($3:$57)),ROW(A14))),"")</f>
        <v/>
      </c>
      <c r="D20" s="422" t="str">
        <f t="array" ref="D20">IFERROR(INDEX('BIO (2)'!G:G,SMALL(IF('BIO (2)'!$E$3:$E$57&gt;0,ROW($3:$57)),ROW(A14))),"")</f>
        <v/>
      </c>
      <c r="E20" s="326" t="str">
        <f t="array" ref="E20">IFERROR(INDEX('BIO (2)'!H:H,SMALL(IF('BIO (2)'!$E$3:$E$57&gt;0,ROW($3:$57)),ROW(A14))),"")</f>
        <v/>
      </c>
      <c r="F20" s="326" t="str">
        <f>IF(A20="","",C20*'Begr.-Rechner BIO'!$I$2)</f>
        <v/>
      </c>
      <c r="G20" s="326" t="str">
        <f>IFERROR(VLOOKUP(A20,'BIO (2)'!A16:I70,9,0),IF('BIO (2)'!I16="","",""))</f>
        <v/>
      </c>
      <c r="H20" s="214"/>
      <c r="I20" s="214"/>
      <c r="O20" s="231">
        <f t="shared" si="0"/>
        <v>0</v>
      </c>
    </row>
    <row r="21" spans="1:15" ht="24.95" customHeight="1" x14ac:dyDescent="0.2">
      <c r="A21" s="420" t="str">
        <f t="array" ref="A21">IFERROR(INDEX('BIO (2)'!A:A,SMALL(IF('BIO (2)'!$E$3:$E$57&gt;0,ROW($3:$57)),ROW(A15))),"")</f>
        <v/>
      </c>
      <c r="B21" s="326" t="str">
        <f t="array" ref="B21">IFERROR(INDEX('BIO (2)'!E:E,SMALL(IF('BIO (2)'!$E$3:$E$57&gt;0,ROW($3:$57)),ROW(A15))),"")</f>
        <v/>
      </c>
      <c r="C21" s="326" t="str">
        <f t="array" ref="C21">IFERROR(INDEX('BIO (2)'!F:F,SMALL(IF('BIO (2)'!$E$3:$E$57&gt;0,ROW($3:$57)),ROW(A15))),"")</f>
        <v/>
      </c>
      <c r="D21" s="422" t="str">
        <f t="array" ref="D21">IFERROR(INDEX('BIO (2)'!G:G,SMALL(IF('BIO (2)'!$E$3:$E$57&gt;0,ROW($3:$57)),ROW(A15))),"")</f>
        <v/>
      </c>
      <c r="E21" s="326" t="str">
        <f t="array" ref="E21">IFERROR(INDEX('BIO (2)'!H:H,SMALL(IF('BIO (2)'!$E$3:$E$57&gt;0,ROW($3:$57)),ROW(A15))),"")</f>
        <v/>
      </c>
      <c r="F21" s="326" t="str">
        <f>IF(A21="","",C21*'Begr.-Rechner BIO'!$I$2)</f>
        <v/>
      </c>
      <c r="G21" s="326" t="str">
        <f>IFERROR(VLOOKUP(A21,'BIO (2)'!A17:I71,9,0),IF('BIO (2)'!I17="","",""))</f>
        <v/>
      </c>
      <c r="H21" s="214"/>
      <c r="I21" s="214"/>
      <c r="O21" s="231">
        <f t="shared" si="0"/>
        <v>0</v>
      </c>
    </row>
    <row r="22" spans="1:15" ht="24.95" customHeight="1" x14ac:dyDescent="0.2">
      <c r="A22" s="420" t="str">
        <f t="array" ref="A22">IFERROR(INDEX('BIO (2)'!A:A,SMALL(IF('BIO (2)'!$E$3:$E$57&gt;0,ROW($3:$57)),ROW(A16))),"")</f>
        <v/>
      </c>
      <c r="B22" s="326" t="str">
        <f t="array" ref="B22">IFERROR(INDEX('BIO (2)'!E:E,SMALL(IF('BIO (2)'!$E$3:$E$57&gt;0,ROW($3:$57)),ROW(A16))),"")</f>
        <v/>
      </c>
      <c r="C22" s="326" t="str">
        <f t="array" ref="C22">IFERROR(INDEX('BIO (2)'!F:F,SMALL(IF('BIO (2)'!$E$3:$E$57&gt;0,ROW($3:$57)),ROW(A16))),"")</f>
        <v/>
      </c>
      <c r="D22" s="422" t="str">
        <f t="array" ref="D22">IFERROR(INDEX('BIO (2)'!G:G,SMALL(IF('BIO (2)'!$E$3:$E$57&gt;0,ROW($3:$57)),ROW(A16))),"")</f>
        <v/>
      </c>
      <c r="E22" s="326" t="str">
        <f t="array" ref="E22">IFERROR(INDEX('BIO (2)'!H:H,SMALL(IF('BIO (2)'!$E$3:$E$57&gt;0,ROW($3:$57)),ROW(A16))),"")</f>
        <v/>
      </c>
      <c r="F22" s="326" t="str">
        <f>IF(A22="","",C22*'Begr.-Rechner BIO'!$I$2)</f>
        <v/>
      </c>
      <c r="G22" s="326" t="str">
        <f>IFERROR(VLOOKUP(A22,'BIO (2)'!A18:I72,9,0),IF('BIO (2)'!I18="","",""))</f>
        <v/>
      </c>
      <c r="H22" s="214"/>
      <c r="I22" s="214"/>
      <c r="O22" s="231">
        <f t="shared" si="0"/>
        <v>0</v>
      </c>
    </row>
    <row r="23" spans="1:15" ht="24.95" customHeight="1" x14ac:dyDescent="0.2">
      <c r="A23" s="420" t="str">
        <f t="array" ref="A23">IFERROR(INDEX('BIO (2)'!A:A,SMALL(IF('BIO (2)'!$E$3:$E$57&gt;0,ROW($3:$57)),ROW(A17))),"")</f>
        <v/>
      </c>
      <c r="B23" s="326" t="str">
        <f t="array" ref="B23">IFERROR(INDEX('BIO (2)'!E:E,SMALL(IF('BIO (2)'!$E$3:$E$57&gt;0,ROW($3:$57)),ROW(A17))),"")</f>
        <v/>
      </c>
      <c r="C23" s="326" t="str">
        <f t="array" ref="C23">IFERROR(INDEX('BIO (2)'!F:F,SMALL(IF('BIO (2)'!$E$3:$E$57&gt;0,ROW($3:$57)),ROW(A17))),"")</f>
        <v/>
      </c>
      <c r="D23" s="422" t="str">
        <f t="array" ref="D23">IFERROR(INDEX('BIO (2)'!G:G,SMALL(IF('BIO (2)'!$E$3:$E$57&gt;0,ROW($3:$57)),ROW(A17))),"")</f>
        <v/>
      </c>
      <c r="E23" s="326" t="str">
        <f t="array" ref="E23">IFERROR(INDEX('BIO (2)'!H:H,SMALL(IF('BIO (2)'!$E$3:$E$57&gt;0,ROW($3:$57)),ROW(A17))),"")</f>
        <v/>
      </c>
      <c r="F23" s="326" t="str">
        <f>IF(A23="","",C23*'Begr.-Rechner BIO'!$I$2)</f>
        <v/>
      </c>
      <c r="G23" s="326" t="str">
        <f>IFERROR(VLOOKUP(A23,'BIO (2)'!A19:I73,9,0),IF('BIO (2)'!I19="","",""))</f>
        <v/>
      </c>
      <c r="H23" s="214"/>
      <c r="I23" s="214"/>
      <c r="O23" s="231">
        <f t="shared" si="0"/>
        <v>0</v>
      </c>
    </row>
    <row r="24" spans="1:15" ht="24.95" customHeight="1" x14ac:dyDescent="0.2">
      <c r="A24" s="420" t="str">
        <f t="array" ref="A24">IFERROR(INDEX('BIO (2)'!A:A,SMALL(IF('BIO (2)'!$E$3:$E$57&gt;0,ROW($3:$57)),ROW(A18))),"")</f>
        <v/>
      </c>
      <c r="B24" s="326" t="str">
        <f t="array" ref="B24">IFERROR(INDEX('BIO (2)'!E:E,SMALL(IF('BIO (2)'!$E$3:$E$57&gt;0,ROW($3:$57)),ROW(A18))),"")</f>
        <v/>
      </c>
      <c r="C24" s="326" t="str">
        <f t="array" ref="C24">IFERROR(INDEX('BIO (2)'!F:F,SMALL(IF('BIO (2)'!$E$3:$E$57&gt;0,ROW($3:$57)),ROW(A18))),"")</f>
        <v/>
      </c>
      <c r="D24" s="422" t="str">
        <f t="array" ref="D24">IFERROR(INDEX('BIO (2)'!G:G,SMALL(IF('BIO (2)'!$E$3:$E$57&gt;0,ROW($3:$57)),ROW(A18))),"")</f>
        <v/>
      </c>
      <c r="E24" s="326" t="str">
        <f t="array" ref="E24">IFERROR(INDEX('BIO (2)'!H:H,SMALL(IF('BIO (2)'!$E$3:$E$57&gt;0,ROW($3:$57)),ROW(A18))),"")</f>
        <v/>
      </c>
      <c r="F24" s="326" t="str">
        <f>IF(A24="","",C24*'Begr.-Rechner BIO'!$I$2)</f>
        <v/>
      </c>
      <c r="G24" s="326" t="str">
        <f>IFERROR(VLOOKUP(A24,'BIO (2)'!A20:I74,9,0),IF('BIO (2)'!I20="","",""))</f>
        <v/>
      </c>
      <c r="H24" s="214"/>
      <c r="I24" s="214"/>
      <c r="O24" s="231">
        <f t="shared" si="0"/>
        <v>0</v>
      </c>
    </row>
    <row r="25" spans="1:15" ht="24.95" customHeight="1" x14ac:dyDescent="0.2">
      <c r="A25" s="420" t="str">
        <f t="array" ref="A25">IFERROR(INDEX('BIO (2)'!A:A,SMALL(IF('BIO (2)'!$E$3:$E$57&gt;0,ROW($3:$57)),ROW(A19))),"")</f>
        <v/>
      </c>
      <c r="B25" s="326" t="str">
        <f t="array" ref="B25">IFERROR(INDEX('BIO (2)'!E:E,SMALL(IF('BIO (2)'!$E$3:$E$57&gt;0,ROW($3:$57)),ROW(A19))),"")</f>
        <v/>
      </c>
      <c r="C25" s="326" t="str">
        <f t="array" ref="C25">IFERROR(INDEX('BIO (2)'!F:F,SMALL(IF('BIO (2)'!$E$3:$E$57&gt;0,ROW($3:$57)),ROW(A19))),"")</f>
        <v/>
      </c>
      <c r="D25" s="422" t="str">
        <f t="array" ref="D25">IFERROR(INDEX('BIO (2)'!G:G,SMALL(IF('BIO (2)'!$E$3:$E$57&gt;0,ROW($3:$57)),ROW(A19))),"")</f>
        <v/>
      </c>
      <c r="E25" s="326" t="str">
        <f t="array" ref="E25">IFERROR(INDEX('BIO (2)'!H:H,SMALL(IF('BIO (2)'!$E$3:$E$57&gt;0,ROW($3:$57)),ROW(A19))),"")</f>
        <v/>
      </c>
      <c r="F25" s="326" t="str">
        <f>IF(A25="","",C25*'Begr.-Rechner BIO'!$I$2)</f>
        <v/>
      </c>
      <c r="G25" s="326" t="str">
        <f>IFERROR(VLOOKUP(A25,'BIO (2)'!A21:I75,9,0),IF('BIO (2)'!I21="","",""))</f>
        <v/>
      </c>
      <c r="H25" s="214"/>
      <c r="I25" s="214"/>
      <c r="O25" s="231">
        <f t="shared" si="0"/>
        <v>0</v>
      </c>
    </row>
    <row r="26" spans="1:15" ht="24.95" customHeight="1" x14ac:dyDescent="0.2">
      <c r="A26" s="420" t="str">
        <f t="array" ref="A26">IFERROR(INDEX('BIO (2)'!A:A,SMALL(IF('BIO (2)'!$E$3:$E$57&gt;0,ROW($3:$57)),ROW(A20))),"")</f>
        <v/>
      </c>
      <c r="B26" s="326" t="str">
        <f t="array" ref="B26">IFERROR(INDEX('BIO (2)'!E:E,SMALL(IF('BIO (2)'!$E$3:$E$57&gt;0,ROW($3:$57)),ROW(A20))),"")</f>
        <v/>
      </c>
      <c r="C26" s="326" t="str">
        <f t="array" ref="C26">IFERROR(INDEX('BIO (2)'!F:F,SMALL(IF('BIO (2)'!$E$3:$E$57&gt;0,ROW($3:$57)),ROW(A20))),"")</f>
        <v/>
      </c>
      <c r="D26" s="422" t="str">
        <f t="array" ref="D26">IFERROR(INDEX('BIO (2)'!G:G,SMALL(IF('BIO (2)'!$E$3:$E$57&gt;0,ROW($3:$57)),ROW(A20))),"")</f>
        <v/>
      </c>
      <c r="E26" s="326" t="str">
        <f t="array" ref="E26">IFERROR(INDEX('BIO (2)'!H:H,SMALL(IF('BIO (2)'!$E$3:$E$57&gt;0,ROW($3:$57)),ROW(A20))),"")</f>
        <v/>
      </c>
      <c r="F26" s="326" t="str">
        <f>IF(A26="","",C26*'Begr.-Rechner BIO'!$I$2)</f>
        <v/>
      </c>
      <c r="G26" s="326" t="str">
        <f>IFERROR(VLOOKUP(A26,'BIO (2)'!A22:I76,9,0),IF('BIO (2)'!I22="","",""))</f>
        <v/>
      </c>
      <c r="H26" s="214"/>
      <c r="I26" s="214"/>
      <c r="O26" s="231">
        <f t="shared" si="0"/>
        <v>0</v>
      </c>
    </row>
    <row r="27" spans="1:15" ht="24.95" customHeight="1" x14ac:dyDescent="0.2">
      <c r="A27" s="420" t="str">
        <f t="array" ref="A27">IFERROR(INDEX('BIO (2)'!A:A,SMALL(IF('BIO (2)'!$E$3:$E$57&gt;0,ROW($3:$57)),ROW(A21))),"")</f>
        <v/>
      </c>
      <c r="B27" s="326" t="str">
        <f t="array" ref="B27">IFERROR(INDEX('BIO (2)'!E:E,SMALL(IF('BIO (2)'!$E$3:$E$57&gt;0,ROW($3:$57)),ROW(A21))),"")</f>
        <v/>
      </c>
      <c r="C27" s="326" t="str">
        <f t="array" ref="C27">IFERROR(INDEX('BIO (2)'!F:F,SMALL(IF('BIO (2)'!$E$3:$E$57&gt;0,ROW($3:$57)),ROW(A21))),"")</f>
        <v/>
      </c>
      <c r="D27" s="422" t="str">
        <f t="array" ref="D27">IFERROR(INDEX('BIO (2)'!G:G,SMALL(IF('BIO (2)'!$E$3:$E$57&gt;0,ROW($3:$57)),ROW(A21))),"")</f>
        <v/>
      </c>
      <c r="E27" s="326" t="str">
        <f t="array" ref="E27">IFERROR(INDEX('BIO (2)'!H:H,SMALL(IF('BIO (2)'!$E$3:$E$57&gt;0,ROW($3:$57)),ROW(A21))),"")</f>
        <v/>
      </c>
      <c r="F27" s="326" t="str">
        <f>IF(A27="","",C27*'Begr.-Rechner BIO'!$I$2)</f>
        <v/>
      </c>
      <c r="G27" s="326" t="str">
        <f>IFERROR(VLOOKUP(A27,'BIO (2)'!A23:I77,9,0),IF('BIO (2)'!I23="","",""))</f>
        <v/>
      </c>
      <c r="H27" s="214"/>
      <c r="I27" s="214"/>
      <c r="O27" s="231">
        <f t="shared" si="0"/>
        <v>0</v>
      </c>
    </row>
    <row r="28" spans="1:15" ht="24.95" customHeight="1" x14ac:dyDescent="0.2">
      <c r="A28" s="420" t="str">
        <f t="array" ref="A28">IFERROR(INDEX('BIO (2)'!A:A,SMALL(IF('BIO (2)'!$E$3:$E$57&gt;0,ROW($3:$57)),ROW(A22))),"")</f>
        <v/>
      </c>
      <c r="B28" s="326" t="str">
        <f t="array" ref="B28">IFERROR(INDEX('BIO (2)'!E:E,SMALL(IF('BIO (2)'!$E$3:$E$57&gt;0,ROW($3:$57)),ROW(A22))),"")</f>
        <v/>
      </c>
      <c r="C28" s="326" t="str">
        <f t="array" ref="C28">IFERROR(INDEX('BIO (2)'!F:F,SMALL(IF('BIO (2)'!$E$3:$E$57&gt;0,ROW($3:$57)),ROW(A22))),"")</f>
        <v/>
      </c>
      <c r="D28" s="422" t="str">
        <f t="array" ref="D28">IFERROR(INDEX('BIO (2)'!G:G,SMALL(IF('BIO (2)'!$E$3:$E$57&gt;0,ROW($3:$57)),ROW(A22))),"")</f>
        <v/>
      </c>
      <c r="E28" s="326" t="str">
        <f t="array" ref="E28">IFERROR(INDEX('BIO (2)'!H:H,SMALL(IF('BIO (2)'!$E$3:$E$57&gt;0,ROW($3:$57)),ROW(A22))),"")</f>
        <v/>
      </c>
      <c r="F28" s="326" t="str">
        <f>IF(A28="","",C28*'Begr.-Rechner BIO'!$I$2)</f>
        <v/>
      </c>
      <c r="G28" s="326" t="str">
        <f>IFERROR(VLOOKUP(A28,'BIO (2)'!A24:I78,9,0),IF('BIO (2)'!I24="","",""))</f>
        <v/>
      </c>
      <c r="O28" s="231">
        <f t="shared" si="0"/>
        <v>0</v>
      </c>
    </row>
    <row r="29" spans="1:15" ht="24.95" customHeight="1" x14ac:dyDescent="0.2">
      <c r="A29" s="420" t="str">
        <f t="array" ref="A29">IFERROR(INDEX('BIO (2)'!A:A,SMALL(IF('BIO (2)'!$E$3:$E$57&gt;0,ROW($3:$57)),ROW(A23))),"")</f>
        <v/>
      </c>
      <c r="B29" s="326" t="str">
        <f t="array" ref="B29">IFERROR(INDEX('BIO (2)'!E:E,SMALL(IF('BIO (2)'!$E$3:$E$57&gt;0,ROW($3:$57)),ROW(A23))),"")</f>
        <v/>
      </c>
      <c r="C29" s="326" t="str">
        <f t="array" ref="C29">IFERROR(INDEX('BIO (2)'!F:F,SMALL(IF('BIO (2)'!$E$3:$E$57&gt;0,ROW($3:$57)),ROW(A23))),"")</f>
        <v/>
      </c>
      <c r="D29" s="422" t="str">
        <f t="array" ref="D29">IFERROR(INDEX('BIO (2)'!G:G,SMALL(IF('BIO (2)'!$E$3:$E$57&gt;0,ROW($3:$57)),ROW(A23))),"")</f>
        <v/>
      </c>
      <c r="E29" s="326" t="str">
        <f t="array" ref="E29">IFERROR(INDEX('BIO (2)'!H:H,SMALL(IF('BIO (2)'!$E$3:$E$57&gt;0,ROW($3:$57)),ROW(A23))),"")</f>
        <v/>
      </c>
      <c r="F29" s="326" t="str">
        <f>IF(A29="","",C29*'Begr.-Rechner BIO'!$I$2)</f>
        <v/>
      </c>
      <c r="G29" s="326" t="str">
        <f>IFERROR(VLOOKUP(A29,'BIO (2)'!A25:I79,9,0),IF('BIO (2)'!I25="","",""))</f>
        <v/>
      </c>
      <c r="O29" s="231">
        <f t="shared" si="0"/>
        <v>0</v>
      </c>
    </row>
    <row r="30" spans="1:15" ht="24.95" customHeight="1" x14ac:dyDescent="0.2">
      <c r="A30" s="420" t="str">
        <f t="array" ref="A30">IFERROR(INDEX('BIO (2)'!A:A,SMALL(IF('BIO (2)'!$E$3:$E$57&gt;0,ROW($3:$57)),ROW(A24))),"")</f>
        <v/>
      </c>
      <c r="B30" s="326" t="str">
        <f t="array" ref="B30">IFERROR(INDEX('BIO (2)'!E:E,SMALL(IF('BIO (2)'!$E$3:$E$57&gt;0,ROW($3:$57)),ROW(A24))),"")</f>
        <v/>
      </c>
      <c r="C30" s="326" t="str">
        <f t="array" ref="C30">IFERROR(INDEX('BIO (2)'!F:F,SMALL(IF('BIO (2)'!$E$3:$E$57&gt;0,ROW($3:$57)),ROW(A24))),"")</f>
        <v/>
      </c>
      <c r="D30" s="422" t="str">
        <f t="array" ref="D30">IFERROR(INDEX('BIO (2)'!G:G,SMALL(IF('BIO (2)'!$E$3:$E$57&gt;0,ROW($3:$57)),ROW(A24))),"")</f>
        <v/>
      </c>
      <c r="E30" s="326" t="str">
        <f t="array" ref="E30">IFERROR(INDEX('BIO (2)'!H:H,SMALL(IF('BIO (2)'!$E$3:$E$57&gt;0,ROW($3:$57)),ROW(A24))),"")</f>
        <v/>
      </c>
      <c r="F30" s="326" t="str">
        <f>IF(A30="","",C30*'Begr.-Rechner BIO'!$I$2)</f>
        <v/>
      </c>
      <c r="G30" s="326" t="str">
        <f>IFERROR(VLOOKUP(A30,'BIO (2)'!A26:I80,9,0),IF('BIO (2)'!I26="","",""))</f>
        <v/>
      </c>
      <c r="O30" s="231">
        <f t="shared" si="0"/>
        <v>0</v>
      </c>
    </row>
    <row r="31" spans="1:15" ht="24.95" customHeight="1" x14ac:dyDescent="0.2">
      <c r="A31" s="420" t="str">
        <f t="array" ref="A31">IFERROR(INDEX('BIO (2)'!A:A,SMALL(IF('BIO (2)'!$E$3:$E$57&gt;0,ROW($3:$57)),ROW(A25))),"")</f>
        <v/>
      </c>
      <c r="B31" s="326" t="str">
        <f t="array" ref="B31">IFERROR(INDEX('BIO (2)'!E:E,SMALL(IF('BIO (2)'!$E$3:$E$57&gt;0,ROW($3:$57)),ROW(A25))),"")</f>
        <v/>
      </c>
      <c r="C31" s="326" t="str">
        <f t="array" ref="C31">IFERROR(INDEX('BIO (2)'!F:F,SMALL(IF('BIO (2)'!$E$3:$E$57&gt;0,ROW($3:$57)),ROW(A25))),"")</f>
        <v/>
      </c>
      <c r="D31" s="422" t="str">
        <f t="array" ref="D31">IFERROR(INDEX('BIO (2)'!G:G,SMALL(IF('BIO (2)'!$E$3:$E$57&gt;0,ROW($3:$57)),ROW(A25))),"")</f>
        <v/>
      </c>
      <c r="E31" s="326" t="str">
        <f t="array" ref="E31">IFERROR(INDEX('BIO (2)'!H:H,SMALL(IF('BIO (2)'!$E$3:$E$57&gt;0,ROW($3:$57)),ROW(A25))),"")</f>
        <v/>
      </c>
      <c r="F31" s="326" t="str">
        <f>IF(A31="","",C31*'Begr.-Rechner BIO'!$I$2)</f>
        <v/>
      </c>
      <c r="G31" s="326" t="str">
        <f>IFERROR(VLOOKUP(A31,'BIO (2)'!A27:I81,9,0),IF('BIO (2)'!I27="","",""))</f>
        <v/>
      </c>
      <c r="O31" s="231">
        <f t="shared" si="0"/>
        <v>0</v>
      </c>
    </row>
    <row r="32" spans="1:15" ht="24.95" customHeight="1" x14ac:dyDescent="0.2">
      <c r="A32" s="420" t="str">
        <f t="array" ref="A32">IFERROR(INDEX('BIO (2)'!A:A,SMALL(IF('BIO (2)'!$E$3:$E$57&gt;0,ROW($3:$57)),ROW(A26))),"")</f>
        <v/>
      </c>
      <c r="B32" s="326" t="str">
        <f t="array" ref="B32">IFERROR(INDEX('BIO (2)'!E:E,SMALL(IF('BIO (2)'!$E$3:$E$57&gt;0,ROW($3:$57)),ROW(A26))),"")</f>
        <v/>
      </c>
      <c r="C32" s="326" t="str">
        <f t="array" ref="C32">IFERROR(INDEX('BIO (2)'!F:F,SMALL(IF('BIO (2)'!$E$3:$E$57&gt;0,ROW($3:$57)),ROW(A26))),"")</f>
        <v/>
      </c>
      <c r="D32" s="422" t="str">
        <f t="array" ref="D32">IFERROR(INDEX('BIO (2)'!G:G,SMALL(IF('BIO (2)'!$E$3:$E$57&gt;0,ROW($3:$57)),ROW(A26))),"")</f>
        <v/>
      </c>
      <c r="E32" s="326" t="str">
        <f t="array" ref="E32">IFERROR(INDEX('BIO (2)'!H:H,SMALL(IF('BIO (2)'!$E$3:$E$57&gt;0,ROW($3:$57)),ROW(A26))),"")</f>
        <v/>
      </c>
      <c r="F32" s="326" t="str">
        <f>IF(A32="","",C32*'Begr.-Rechner BIO'!$I$2)</f>
        <v/>
      </c>
      <c r="G32" s="326" t="str">
        <f>IFERROR(VLOOKUP(A32,'BIO (2)'!A28:I82,9,0),IF('BIO (2)'!I28="","",""))</f>
        <v/>
      </c>
      <c r="O32" s="231">
        <f t="shared" si="0"/>
        <v>0</v>
      </c>
    </row>
    <row r="33" spans="1:16" ht="24.95" customHeight="1" x14ac:dyDescent="0.2">
      <c r="A33" s="420" t="str">
        <f t="array" ref="A33">IFERROR(INDEX('BIO (2)'!A:A,SMALL(IF('BIO (2)'!$E$3:$E$57&gt;0,ROW($3:$57)),ROW(A27))),"")</f>
        <v/>
      </c>
      <c r="B33" s="326" t="str">
        <f t="array" ref="B33">IFERROR(INDEX('BIO (2)'!E:E,SMALL(IF('BIO (2)'!$E$3:$E$57&gt;0,ROW($3:$57)),ROW(A27))),"")</f>
        <v/>
      </c>
      <c r="C33" s="326" t="str">
        <f t="array" ref="C33">IFERROR(INDEX('BIO (2)'!F:F,SMALL(IF('BIO (2)'!$E$3:$E$57&gt;0,ROW($3:$57)),ROW(A27))),"")</f>
        <v/>
      </c>
      <c r="D33" s="422" t="str">
        <f t="array" ref="D33">IFERROR(INDEX('BIO (2)'!G:G,SMALL(IF('BIO (2)'!$E$3:$E$57&gt;0,ROW($3:$57)),ROW(A27))),"")</f>
        <v/>
      </c>
      <c r="E33" s="326" t="str">
        <f t="array" ref="E33">IFERROR(INDEX('BIO (2)'!H:H,SMALL(IF('BIO (2)'!$E$3:$E$57&gt;0,ROW($3:$57)),ROW(A27))),"")</f>
        <v/>
      </c>
      <c r="F33" s="326" t="str">
        <f>IF(A33="","",C33*'Begr.-Rechner BIO'!$I$2)</f>
        <v/>
      </c>
      <c r="G33" s="326" t="str">
        <f>IFERROR(VLOOKUP(A33,'BIO (2)'!A29:I83,9,0),IF('BIO (2)'!I29="","",""))</f>
        <v/>
      </c>
      <c r="O33" s="231">
        <f t="shared" si="0"/>
        <v>0</v>
      </c>
    </row>
    <row r="34" spans="1:16" ht="24.95" customHeight="1" x14ac:dyDescent="0.2">
      <c r="A34" s="420" t="str">
        <f t="array" ref="A34">IFERROR(INDEX('BIO (2)'!A:A,SMALL(IF('BIO (2)'!$E$3:$E$57&gt;0,ROW($3:$57)),ROW(A28))),"")</f>
        <v/>
      </c>
      <c r="B34" s="326" t="str">
        <f t="array" ref="B34">IFERROR(INDEX('BIO (2)'!E:E,SMALL(IF('BIO (2)'!$E$3:$E$57&gt;0,ROW($3:$57)),ROW(A28))),"")</f>
        <v/>
      </c>
      <c r="C34" s="326" t="str">
        <f t="array" ref="C34">IFERROR(INDEX('BIO (2)'!F:F,SMALL(IF('BIO (2)'!$E$3:$E$57&gt;0,ROW($3:$57)),ROW(A28))),"")</f>
        <v/>
      </c>
      <c r="D34" s="422" t="str">
        <f t="array" ref="D34">IFERROR(INDEX('BIO (2)'!G:G,SMALL(IF('BIO (2)'!$E$3:$E$57&gt;0,ROW($3:$57)),ROW(A28))),"")</f>
        <v/>
      </c>
      <c r="E34" s="326" t="str">
        <f t="array" ref="E34">IFERROR(INDEX('BIO (2)'!H:H,SMALL(IF('BIO (2)'!$E$3:$E$57&gt;0,ROW($3:$57)),ROW(A28))),"")</f>
        <v/>
      </c>
      <c r="F34" s="326" t="str">
        <f>IF(A34="","",C34*'Begr.-Rechner BIO'!$I$2)</f>
        <v/>
      </c>
      <c r="G34" s="326" t="str">
        <f>IFERROR(VLOOKUP(A34,'BIO (2)'!A30:I84,9,0),IF('BIO (2)'!I30="","",""))</f>
        <v/>
      </c>
      <c r="O34" s="231">
        <f t="shared" si="0"/>
        <v>0</v>
      </c>
    </row>
    <row r="35" spans="1:16" ht="24.95" customHeight="1" x14ac:dyDescent="0.2">
      <c r="A35" s="420" t="str">
        <f t="array" ref="A35">IFERROR(INDEX('BIO (2)'!A:A,SMALL(IF('BIO (2)'!$E$3:$E$57&gt;0,ROW($3:$57)),ROW(A29))),"")</f>
        <v/>
      </c>
      <c r="B35" s="326" t="str">
        <f t="array" ref="B35">IFERROR(INDEX('BIO (2)'!E:E,SMALL(IF('BIO (2)'!$E$3:$E$57&gt;0,ROW($3:$57)),ROW(A29))),"")</f>
        <v/>
      </c>
      <c r="C35" s="326" t="str">
        <f t="array" ref="C35">IFERROR(INDEX('BIO (2)'!F:F,SMALL(IF('BIO (2)'!$E$3:$E$57&gt;0,ROW($3:$57)),ROW(A29))),"")</f>
        <v/>
      </c>
      <c r="D35" s="422" t="str">
        <f t="array" ref="D35">IFERROR(INDEX('BIO (2)'!G:G,SMALL(IF('BIO (2)'!$E$3:$E$57&gt;0,ROW($3:$57)),ROW(A29))),"")</f>
        <v/>
      </c>
      <c r="E35" s="326" t="str">
        <f t="array" ref="E35">IFERROR(INDEX('BIO (2)'!H:H,SMALL(IF('BIO (2)'!$E$3:$E$57&gt;0,ROW($3:$57)),ROW(A29))),"")</f>
        <v/>
      </c>
      <c r="F35" s="326" t="str">
        <f>IF(A35="","",C35*'Begr.-Rechner BIO'!$I$2)</f>
        <v/>
      </c>
      <c r="G35" s="326" t="str">
        <f>IFERROR(VLOOKUP(A35,'BIO (2)'!A31:I85,9,0),IF('BIO (2)'!I31="","",""))</f>
        <v/>
      </c>
      <c r="O35" s="231">
        <f t="shared" si="0"/>
        <v>0</v>
      </c>
    </row>
    <row r="36" spans="1:16" ht="24.95" customHeight="1" x14ac:dyDescent="0.2">
      <c r="A36" s="420" t="str">
        <f t="array" ref="A36">IFERROR(INDEX('BIO (2)'!A:A,SMALL(IF('BIO (2)'!$E$3:$E$57&gt;0,ROW($3:$57)),ROW(A30))),"")</f>
        <v/>
      </c>
      <c r="B36" s="326" t="str">
        <f t="array" ref="B36">IFERROR(INDEX('BIO (2)'!E:E,SMALL(IF('BIO (2)'!$E$3:$E$57&gt;0,ROW($3:$57)),ROW(A30))),"")</f>
        <v/>
      </c>
      <c r="C36" s="326" t="str">
        <f t="array" ref="C36">IFERROR(INDEX('BIO (2)'!F:F,SMALL(IF('BIO (2)'!$E$3:$E$57&gt;0,ROW($3:$57)),ROW(A30))),"")</f>
        <v/>
      </c>
      <c r="D36" s="422" t="str">
        <f t="array" ref="D36">IFERROR(INDEX('BIO (2)'!G:G,SMALL(IF('BIO (2)'!$E$3:$E$57&gt;0,ROW($3:$57)),ROW(A30))),"")</f>
        <v/>
      </c>
      <c r="E36" s="326" t="str">
        <f t="array" ref="E36">IFERROR(INDEX('BIO (2)'!H:H,SMALL(IF('BIO (2)'!$E$3:$E$57&gt;0,ROW($3:$57)),ROW(A30))),"")</f>
        <v/>
      </c>
      <c r="F36" s="326" t="str">
        <f>IF(A36="","",C36*'Begr.-Rechner BIO'!$I$2)</f>
        <v/>
      </c>
      <c r="G36" s="326" t="str">
        <f>IFERROR(VLOOKUP(A36,'BIO (2)'!A32:I86,9,0),IF('BIO (2)'!I32="","",""))</f>
        <v/>
      </c>
      <c r="O36" s="231">
        <f t="shared" si="0"/>
        <v>0</v>
      </c>
    </row>
    <row r="37" spans="1:16" ht="24.95" customHeight="1" x14ac:dyDescent="0.2">
      <c r="A37" s="420" t="str">
        <f t="array" ref="A37">IFERROR(INDEX('BIO (2)'!A:A,SMALL(IF('BIO (2)'!$E$3:$E$57&gt;0,ROW($3:$57)),ROW(A31))),"")</f>
        <v/>
      </c>
      <c r="B37" s="326" t="str">
        <f t="array" ref="B37">IFERROR(INDEX('BIO (2)'!E:E,SMALL(IF('BIO (2)'!$E$3:$E$57&gt;0,ROW($3:$57)),ROW(A31))),"")</f>
        <v/>
      </c>
      <c r="C37" s="326" t="str">
        <f t="array" ref="C37">IFERROR(INDEX('BIO (2)'!F:F,SMALL(IF('BIO (2)'!$E$3:$E$57&gt;0,ROW($3:$57)),ROW(A31))),"")</f>
        <v/>
      </c>
      <c r="D37" s="422" t="str">
        <f t="array" ref="D37">IFERROR(INDEX('BIO (2)'!G:G,SMALL(IF('BIO (2)'!$E$3:$E$57&gt;0,ROW($3:$57)),ROW(A31))),"")</f>
        <v/>
      </c>
      <c r="E37" s="326" t="str">
        <f t="array" ref="E37">IFERROR(INDEX('BIO (2)'!H:H,SMALL(IF('BIO (2)'!$E$3:$E$57&gt;0,ROW($3:$57)),ROW(A31))),"")</f>
        <v/>
      </c>
      <c r="F37" s="326" t="str">
        <f>IF(A37="","",C37*'Begr.-Rechner BIO'!$I$2)</f>
        <v/>
      </c>
      <c r="G37" s="326" t="str">
        <f>IFERROR(VLOOKUP(A37,'BIO (2)'!A33:I87,9,0),IF('BIO (2)'!I33="","",""))</f>
        <v/>
      </c>
      <c r="O37" s="231">
        <f t="shared" si="0"/>
        <v>0</v>
      </c>
    </row>
    <row r="38" spans="1:16" ht="24.95" customHeight="1" x14ac:dyDescent="0.2">
      <c r="A38" s="420" t="str">
        <f t="array" ref="A38">IFERROR(INDEX('BIO (2)'!A:A,SMALL(IF('BIO (2)'!$E$3:$E$57&gt;0,ROW($3:$57)),ROW(A32))),"")</f>
        <v/>
      </c>
      <c r="B38" s="326" t="str">
        <f t="array" ref="B38">IFERROR(INDEX('BIO (2)'!E:E,SMALL(IF('BIO (2)'!$E$3:$E$57&gt;0,ROW($3:$57)),ROW(A32))),"")</f>
        <v/>
      </c>
      <c r="C38" s="326" t="str">
        <f t="array" ref="C38">IFERROR(INDEX('BIO (2)'!F:F,SMALL(IF('BIO (2)'!$E$3:$E$57&gt;0,ROW($3:$57)),ROW(A32))),"")</f>
        <v/>
      </c>
      <c r="D38" s="422" t="str">
        <f t="array" ref="D38">IFERROR(INDEX('BIO (2)'!G:G,SMALL(IF('BIO (2)'!$E$3:$E$57&gt;0,ROW($3:$57)),ROW(A32))),"")</f>
        <v/>
      </c>
      <c r="E38" s="326" t="str">
        <f t="array" ref="E38">IFERROR(INDEX('BIO (2)'!H:H,SMALL(IF('BIO (2)'!$E$3:$E$57&gt;0,ROW($3:$57)),ROW(A32))),"")</f>
        <v/>
      </c>
      <c r="F38" s="326" t="str">
        <f>IF(A38="","",C38*'Begr.-Rechner BIO'!$I$2)</f>
        <v/>
      </c>
      <c r="G38" s="326" t="str">
        <f>IFERROR(VLOOKUP(A38,'BIO (2)'!A34:I88,9,0),IF('BIO (2)'!I34="","",""))</f>
        <v/>
      </c>
      <c r="O38" s="231">
        <f t="shared" si="0"/>
        <v>0</v>
      </c>
    </row>
    <row r="39" spans="1:16" ht="24.95" customHeight="1" thickBot="1" x14ac:dyDescent="0.25">
      <c r="A39" s="420" t="str">
        <f t="array" ref="A39">IFERROR(INDEX('BIO (2)'!A:A,SMALL(IF('BIO (2)'!$E$3:$E$57&gt;0,ROW($3:$57)),ROW(A33))),"")</f>
        <v/>
      </c>
      <c r="B39" s="326" t="str">
        <f t="array" ref="B39">IFERROR(INDEX('BIO (2)'!E:E,SMALL(IF('BIO (2)'!$E$3:$E$57&gt;0,ROW($3:$57)),ROW(A33))),"")</f>
        <v/>
      </c>
      <c r="C39" s="326" t="str">
        <f t="array" ref="C39">IFERROR(INDEX('BIO (2)'!F:F,SMALL(IF('BIO (2)'!$E$3:$E$57&gt;0,ROW($3:$57)),ROW(A33))),"")</f>
        <v/>
      </c>
      <c r="D39" s="422" t="str">
        <f t="array" ref="D39">IFERROR(INDEX('BIO (2)'!G:G,SMALL(IF('BIO (2)'!$E$3:$E$57&gt;0,ROW($3:$57)),ROW(A33))),"")</f>
        <v/>
      </c>
      <c r="E39" s="326" t="str">
        <f t="array" ref="E39">IFERROR(INDEX('BIO (2)'!H:H,SMALL(IF('BIO (2)'!$E$3:$E$57&gt;0,ROW($3:$57)),ROW(A33))),"")</f>
        <v/>
      </c>
      <c r="F39" s="326" t="str">
        <f>IF(A39="","",C39*'Begr.-Rechner BIO'!$I$2)</f>
        <v/>
      </c>
      <c r="G39" s="326" t="str">
        <f>IFERROR(VLOOKUP(A39,'BIO (2)'!A35:I89,9,0),IF('BIO (2)'!I35="","",""))</f>
        <v/>
      </c>
      <c r="O39" s="231">
        <f t="shared" si="0"/>
        <v>0</v>
      </c>
    </row>
    <row r="40" spans="1:16" ht="15" thickBot="1" x14ac:dyDescent="0.25">
      <c r="O40" s="275">
        <f>SUM(O7:O39)</f>
        <v>0</v>
      </c>
      <c r="P40" s="275" t="str">
        <f>IF(D4&lt;&gt;"",O40/D4,"")</f>
        <v/>
      </c>
    </row>
  </sheetData>
  <sheetProtection algorithmName="SHA-512" hashValue="3aCqPKzS6byOH2QeWHE5QVv+hjBbg7KqojSWKcDFmSMi5Y44txmJhubXWx+PL+nRO1fYN2fMyUto+bLRuHE7UQ==" saltValue="8nTYrX3XO/Lv0RNs/onpvw==" spinCount="100000" sheet="1" objects="1" scenarios="1" formatCells="0" formatRows="0"/>
  <mergeCells count="16">
    <mergeCell ref="J7:M11"/>
    <mergeCell ref="L1:M3"/>
    <mergeCell ref="J1:K3"/>
    <mergeCell ref="F5:G5"/>
    <mergeCell ref="F3:G3"/>
    <mergeCell ref="F4:G4"/>
    <mergeCell ref="H3:I3"/>
    <mergeCell ref="H4:I4"/>
    <mergeCell ref="J4:M6"/>
    <mergeCell ref="H12:I16"/>
    <mergeCell ref="H6:I6"/>
    <mergeCell ref="A1:I1"/>
    <mergeCell ref="H9:H11"/>
    <mergeCell ref="I7:I8"/>
    <mergeCell ref="I9:I11"/>
    <mergeCell ref="H7:H8"/>
  </mergeCells>
  <conditionalFormatting sqref="A7:E39">
    <cfRule type="expression" dxfId="4" priority="6">
      <formula>A7&lt;&gt;""</formula>
    </cfRule>
  </conditionalFormatting>
  <conditionalFormatting sqref="F7:F39">
    <cfRule type="expression" dxfId="3" priority="5">
      <formula>A7&lt;&gt;""</formula>
    </cfRule>
  </conditionalFormatting>
  <conditionalFormatting sqref="G7:G39">
    <cfRule type="expression" dxfId="2" priority="2">
      <formula>$G7&lt;&gt;""</formula>
    </cfRule>
  </conditionalFormatting>
  <hyperlinks>
    <hyperlink ref="J1:K3" location="'Begr.-Rechner BIO'!A1" display="'Begr.-Rechner BIO'!A1" xr:uid="{00000000-0004-0000-0600-000000000000}"/>
    <hyperlink ref="L1:M3" location="Anleitung!A1" display="Anleitung!A1" xr:uid="{00000000-0004-0000-0600-000001000000}"/>
  </hyperlinks>
  <pageMargins left="0.7" right="0.7" top="0.78740157499999996" bottom="0.78740157499999996" header="0.3" footer="0.3"/>
  <pageSetup paperSize="9" scale="49"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3" id="{9DE10402-5294-4E19-94D1-BD3BDF89CE4B}">
            <xm:f>OR(AND('BIO (2)'!$Q$3&gt;0,'BIO (2)'!$R$3&gt;0),AND('BIO (2)'!$Q$3=0,'BIO (2)'!$R$3&gt;0))</xm:f>
            <x14:dxf>
              <border>
                <right style="thin">
                  <color auto="1"/>
                </right>
                <top style="thin">
                  <color auto="1"/>
                </top>
                <bottom style="thin">
                  <color auto="1"/>
                </bottom>
                <vertical/>
                <horizontal/>
              </border>
            </x14:dxf>
          </x14:cfRule>
          <xm:sqref>J4</xm:sqref>
        </x14:conditionalFormatting>
        <x14:conditionalFormatting xmlns:xm="http://schemas.microsoft.com/office/excel/2006/main">
          <x14:cfRule type="expression" priority="1" id="{AB2930EB-B49D-4F82-8D28-1506C00FCFC3}">
            <xm:f>AND($H$4&gt;0.6,'Begr.-Rechner BIO'!$J$2&gt;0)</xm:f>
            <x14:dxf>
              <font>
                <b/>
                <i val="0"/>
              </font>
              <fill>
                <patternFill>
                  <bgColor rgb="FFFFC000"/>
                </patternFill>
              </fill>
              <border>
                <left style="thin">
                  <color auto="1"/>
                </left>
                <right style="thin">
                  <color auto="1"/>
                </right>
                <top style="thin">
                  <color auto="1"/>
                </top>
                <bottom style="thin">
                  <color auto="1"/>
                </bottom>
                <vertical/>
                <horizontal/>
              </border>
            </x14:dxf>
          </x14:cfRule>
          <xm:sqref>J7:M11</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BC2C5-00AF-4FB0-8D86-33111261DA91}">
  <sheetPr>
    <tabColor rgb="FFFFFF00"/>
    <pageSetUpPr fitToPage="1"/>
  </sheetPr>
  <dimension ref="A1:J215"/>
  <sheetViews>
    <sheetView zoomScale="85" zoomScaleNormal="85" workbookViewId="0">
      <selection activeCell="A7" sqref="A7"/>
    </sheetView>
  </sheetViews>
  <sheetFormatPr baseColWidth="10" defaultRowHeight="14.25" x14ac:dyDescent="0.2"/>
  <cols>
    <col min="1" max="1" width="45.125" bestFit="1" customWidth="1"/>
    <col min="2" max="2" width="23.875" customWidth="1"/>
    <col min="3" max="3" width="17.375" customWidth="1"/>
    <col min="4" max="4" width="16.5" customWidth="1"/>
    <col min="5" max="5" width="95.25" customWidth="1"/>
    <col min="7" max="7" width="9" customWidth="1"/>
    <col min="8" max="8" width="4.75" customWidth="1"/>
    <col min="9" max="9" width="7.5" customWidth="1"/>
    <col min="10" max="10" width="4" customWidth="1"/>
  </cols>
  <sheetData>
    <row r="1" spans="1:10" ht="23.25" x14ac:dyDescent="0.2">
      <c r="C1" s="646" t="s">
        <v>468</v>
      </c>
      <c r="D1" s="646"/>
    </row>
    <row r="2" spans="1:10" ht="18.75" thickBot="1" x14ac:dyDescent="0.25">
      <c r="C2" s="647" t="s">
        <v>552</v>
      </c>
      <c r="D2" s="647"/>
    </row>
    <row r="3" spans="1:10" ht="18.75" thickBot="1" x14ac:dyDescent="0.25">
      <c r="C3" s="234" t="s">
        <v>316</v>
      </c>
      <c r="D3" s="235">
        <v>20250610</v>
      </c>
    </row>
    <row r="5" spans="1:10" ht="24.95" customHeight="1" thickBot="1" x14ac:dyDescent="0.25"/>
    <row r="6" spans="1:10" ht="36" x14ac:dyDescent="0.2">
      <c r="A6" s="284" t="s">
        <v>390</v>
      </c>
      <c r="B6" s="285" t="s">
        <v>60</v>
      </c>
      <c r="C6" s="313" t="s">
        <v>841</v>
      </c>
      <c r="D6" s="177" t="s">
        <v>61</v>
      </c>
      <c r="E6" s="237" t="s">
        <v>62</v>
      </c>
      <c r="F6" s="631" t="s">
        <v>311</v>
      </c>
      <c r="G6" s="632"/>
      <c r="H6" s="632"/>
      <c r="I6" s="632"/>
      <c r="J6" s="633"/>
    </row>
    <row r="7" spans="1:10" ht="30" customHeight="1" thickBot="1" x14ac:dyDescent="0.25">
      <c r="A7" s="286" t="s">
        <v>63</v>
      </c>
      <c r="B7" s="219">
        <v>15</v>
      </c>
      <c r="C7" s="240">
        <v>4.54</v>
      </c>
      <c r="D7" s="287">
        <v>68.099999999999994</v>
      </c>
      <c r="E7" s="288" t="s">
        <v>391</v>
      </c>
      <c r="F7" s="634"/>
      <c r="G7" s="635"/>
      <c r="H7" s="635"/>
      <c r="I7" s="635"/>
      <c r="J7" s="636"/>
    </row>
    <row r="8" spans="1:10" ht="30" customHeight="1" x14ac:dyDescent="0.2">
      <c r="A8" s="286" t="s">
        <v>8</v>
      </c>
      <c r="B8" s="219" t="s">
        <v>64</v>
      </c>
      <c r="C8" s="240" t="s">
        <v>558</v>
      </c>
      <c r="D8" s="287" t="s">
        <v>559</v>
      </c>
      <c r="E8" s="643" t="s">
        <v>560</v>
      </c>
    </row>
    <row r="9" spans="1:10" ht="30" customHeight="1" x14ac:dyDescent="0.2">
      <c r="A9" s="286" t="s">
        <v>561</v>
      </c>
      <c r="B9" s="219" t="s">
        <v>64</v>
      </c>
      <c r="C9" s="240" t="s">
        <v>562</v>
      </c>
      <c r="D9" s="287" t="s">
        <v>563</v>
      </c>
      <c r="E9" s="643"/>
    </row>
    <row r="10" spans="1:10" ht="30" customHeight="1" x14ac:dyDescent="0.2">
      <c r="A10" s="286" t="s">
        <v>65</v>
      </c>
      <c r="B10" s="219">
        <v>25</v>
      </c>
      <c r="C10" s="240" t="s">
        <v>564</v>
      </c>
      <c r="D10" s="287" t="s">
        <v>565</v>
      </c>
      <c r="E10" s="642" t="s">
        <v>566</v>
      </c>
    </row>
    <row r="11" spans="1:10" ht="30" customHeight="1" x14ac:dyDescent="0.2">
      <c r="A11" s="286" t="s">
        <v>567</v>
      </c>
      <c r="B11" s="219">
        <v>25</v>
      </c>
      <c r="C11" s="240">
        <v>3.64</v>
      </c>
      <c r="D11" s="287">
        <v>91</v>
      </c>
      <c r="E11" s="642"/>
    </row>
    <row r="12" spans="1:10" ht="30" customHeight="1" x14ac:dyDescent="0.2">
      <c r="A12" s="286" t="s">
        <v>101</v>
      </c>
      <c r="B12" s="219">
        <v>160</v>
      </c>
      <c r="C12" s="240">
        <v>1.45</v>
      </c>
      <c r="D12" s="287">
        <v>232</v>
      </c>
      <c r="E12" s="43" t="s">
        <v>392</v>
      </c>
    </row>
    <row r="13" spans="1:10" ht="30" customHeight="1" x14ac:dyDescent="0.2">
      <c r="A13" s="286" t="s">
        <v>568</v>
      </c>
      <c r="B13" s="219">
        <v>60</v>
      </c>
      <c r="C13" s="240">
        <v>1.9</v>
      </c>
      <c r="D13" s="287">
        <v>114</v>
      </c>
      <c r="E13" s="644" t="s">
        <v>342</v>
      </c>
    </row>
    <row r="14" spans="1:10" ht="30" customHeight="1" x14ac:dyDescent="0.2">
      <c r="A14" s="286" t="s">
        <v>569</v>
      </c>
      <c r="B14" s="219">
        <v>60</v>
      </c>
      <c r="C14" s="240">
        <v>2.5099999999999998</v>
      </c>
      <c r="D14" s="287">
        <v>150.6</v>
      </c>
      <c r="E14" s="644"/>
    </row>
    <row r="15" spans="1:10" ht="30" customHeight="1" x14ac:dyDescent="0.2">
      <c r="A15" s="286" t="s">
        <v>570</v>
      </c>
      <c r="B15" s="219" t="s">
        <v>66</v>
      </c>
      <c r="C15" s="240" t="s">
        <v>571</v>
      </c>
      <c r="D15" s="287" t="s">
        <v>572</v>
      </c>
      <c r="E15" s="644"/>
    </row>
    <row r="16" spans="1:10" ht="30" customHeight="1" x14ac:dyDescent="0.2">
      <c r="A16" s="286" t="s">
        <v>469</v>
      </c>
      <c r="B16" s="219" t="s">
        <v>66</v>
      </c>
      <c r="C16" s="240" t="s">
        <v>573</v>
      </c>
      <c r="D16" s="287" t="s">
        <v>574</v>
      </c>
      <c r="E16" s="644"/>
    </row>
    <row r="17" spans="1:5" ht="30" customHeight="1" x14ac:dyDescent="0.2">
      <c r="A17" s="286" t="s">
        <v>575</v>
      </c>
      <c r="B17" s="219">
        <v>40</v>
      </c>
      <c r="C17" s="240" t="s">
        <v>576</v>
      </c>
      <c r="D17" s="287" t="s">
        <v>577</v>
      </c>
      <c r="E17" s="644" t="s">
        <v>393</v>
      </c>
    </row>
    <row r="18" spans="1:5" ht="30" customHeight="1" x14ac:dyDescent="0.2">
      <c r="A18" s="286" t="s">
        <v>92</v>
      </c>
      <c r="B18" s="219">
        <v>40</v>
      </c>
      <c r="C18" s="240">
        <v>3.74</v>
      </c>
      <c r="D18" s="287">
        <v>149.6</v>
      </c>
      <c r="E18" s="644"/>
    </row>
    <row r="19" spans="1:5" ht="30" customHeight="1" x14ac:dyDescent="0.2">
      <c r="A19" s="286" t="s">
        <v>394</v>
      </c>
      <c r="B19" s="219" t="s">
        <v>64</v>
      </c>
      <c r="C19" s="240" t="s">
        <v>578</v>
      </c>
      <c r="D19" s="287" t="s">
        <v>579</v>
      </c>
      <c r="E19" s="644" t="s">
        <v>395</v>
      </c>
    </row>
    <row r="20" spans="1:5" ht="30" customHeight="1" x14ac:dyDescent="0.2">
      <c r="A20" s="286" t="s">
        <v>580</v>
      </c>
      <c r="B20" s="219">
        <v>30</v>
      </c>
      <c r="C20" s="240">
        <v>8</v>
      </c>
      <c r="D20" s="287">
        <v>240</v>
      </c>
      <c r="E20" s="644"/>
    </row>
    <row r="21" spans="1:5" ht="30" customHeight="1" x14ac:dyDescent="0.2">
      <c r="A21" s="286" t="s">
        <v>67</v>
      </c>
      <c r="B21" s="219">
        <v>180</v>
      </c>
      <c r="C21" s="240">
        <v>3.08</v>
      </c>
      <c r="D21" s="287">
        <v>554.4</v>
      </c>
      <c r="E21" s="645" t="s">
        <v>343</v>
      </c>
    </row>
    <row r="22" spans="1:5" ht="30" customHeight="1" x14ac:dyDescent="0.2">
      <c r="A22" s="286" t="s">
        <v>581</v>
      </c>
      <c r="B22" s="219">
        <v>180</v>
      </c>
      <c r="C22" s="240">
        <v>6.58</v>
      </c>
      <c r="D22" s="287">
        <v>1184.4000000000001</v>
      </c>
      <c r="E22" s="645"/>
    </row>
    <row r="23" spans="1:5" ht="30" customHeight="1" x14ac:dyDescent="0.2">
      <c r="A23" s="286" t="s">
        <v>13</v>
      </c>
      <c r="B23" s="219" t="s">
        <v>396</v>
      </c>
      <c r="C23" s="240" t="s">
        <v>582</v>
      </c>
      <c r="D23" s="287" t="s">
        <v>583</v>
      </c>
      <c r="E23" s="644" t="s">
        <v>584</v>
      </c>
    </row>
    <row r="24" spans="1:5" ht="30" customHeight="1" x14ac:dyDescent="0.2">
      <c r="A24" s="286" t="s">
        <v>585</v>
      </c>
      <c r="B24" s="219" t="s">
        <v>396</v>
      </c>
      <c r="C24" s="240">
        <v>1.49</v>
      </c>
      <c r="D24" s="287" t="s">
        <v>586</v>
      </c>
      <c r="E24" s="644"/>
    </row>
    <row r="25" spans="1:5" ht="30" customHeight="1" x14ac:dyDescent="0.2">
      <c r="A25" s="286" t="s">
        <v>68</v>
      </c>
      <c r="B25" s="219">
        <v>3</v>
      </c>
      <c r="C25" s="240">
        <v>13.53</v>
      </c>
      <c r="D25" s="287">
        <v>40.6</v>
      </c>
      <c r="E25" s="220" t="s">
        <v>587</v>
      </c>
    </row>
    <row r="26" spans="1:5" ht="30" customHeight="1" x14ac:dyDescent="0.2">
      <c r="A26" s="286" t="s">
        <v>14</v>
      </c>
      <c r="B26" s="219">
        <v>30</v>
      </c>
      <c r="C26" s="240" t="s">
        <v>588</v>
      </c>
      <c r="D26" s="287" t="s">
        <v>589</v>
      </c>
      <c r="E26" s="220" t="s">
        <v>590</v>
      </c>
    </row>
    <row r="27" spans="1:5" ht="30" customHeight="1" x14ac:dyDescent="0.2">
      <c r="A27" s="286" t="s">
        <v>15</v>
      </c>
      <c r="B27" s="219">
        <v>150</v>
      </c>
      <c r="C27" s="240" t="s">
        <v>591</v>
      </c>
      <c r="D27" s="287" t="s">
        <v>592</v>
      </c>
      <c r="E27" s="216" t="s">
        <v>471</v>
      </c>
    </row>
    <row r="28" spans="1:5" ht="30" customHeight="1" x14ac:dyDescent="0.2">
      <c r="A28" s="286" t="s">
        <v>69</v>
      </c>
      <c r="B28" s="219">
        <v>2</v>
      </c>
      <c r="C28" s="240">
        <v>9.98</v>
      </c>
      <c r="D28" s="287">
        <v>39.9</v>
      </c>
      <c r="E28" s="175" t="s">
        <v>593</v>
      </c>
    </row>
    <row r="29" spans="1:5" ht="30" customHeight="1" x14ac:dyDescent="0.2">
      <c r="A29" s="286" t="s">
        <v>70</v>
      </c>
      <c r="B29" s="219">
        <v>15</v>
      </c>
      <c r="C29" s="240">
        <v>4.03</v>
      </c>
      <c r="D29" s="287">
        <v>60.5</v>
      </c>
      <c r="E29" s="645" t="s">
        <v>594</v>
      </c>
    </row>
    <row r="30" spans="1:5" ht="30" customHeight="1" x14ac:dyDescent="0.2">
      <c r="A30" s="286" t="s">
        <v>595</v>
      </c>
      <c r="B30" s="219">
        <v>15</v>
      </c>
      <c r="C30" s="240">
        <v>4.25</v>
      </c>
      <c r="D30" s="287">
        <v>63.8</v>
      </c>
      <c r="E30" s="645"/>
    </row>
    <row r="31" spans="1:5" ht="30" customHeight="1" x14ac:dyDescent="0.2">
      <c r="A31" s="286" t="s">
        <v>71</v>
      </c>
      <c r="B31" s="219">
        <v>20</v>
      </c>
      <c r="C31" s="240" t="s">
        <v>596</v>
      </c>
      <c r="D31" s="287" t="s">
        <v>597</v>
      </c>
      <c r="E31" s="175" t="s">
        <v>598</v>
      </c>
    </row>
    <row r="32" spans="1:5" ht="30" customHeight="1" x14ac:dyDescent="0.2">
      <c r="A32" s="286" t="s">
        <v>16</v>
      </c>
      <c r="B32" s="219">
        <v>30</v>
      </c>
      <c r="C32" s="240" t="s">
        <v>599</v>
      </c>
      <c r="D32" s="287" t="s">
        <v>600</v>
      </c>
      <c r="E32" s="644" t="s">
        <v>601</v>
      </c>
    </row>
    <row r="33" spans="1:5" ht="30" customHeight="1" x14ac:dyDescent="0.2">
      <c r="A33" s="286" t="s">
        <v>602</v>
      </c>
      <c r="B33" s="219">
        <v>30</v>
      </c>
      <c r="C33" s="240">
        <v>4.99</v>
      </c>
      <c r="D33" s="287">
        <v>149.69999999999999</v>
      </c>
      <c r="E33" s="644"/>
    </row>
    <row r="34" spans="1:5" ht="30" customHeight="1" x14ac:dyDescent="0.2">
      <c r="A34" s="286" t="s">
        <v>603</v>
      </c>
      <c r="B34" s="219">
        <v>40</v>
      </c>
      <c r="C34" s="240" t="s">
        <v>604</v>
      </c>
      <c r="D34" s="287" t="s">
        <v>605</v>
      </c>
      <c r="E34" s="644" t="s">
        <v>606</v>
      </c>
    </row>
    <row r="35" spans="1:5" ht="30" customHeight="1" x14ac:dyDescent="0.2">
      <c r="A35" s="286" t="s">
        <v>607</v>
      </c>
      <c r="B35" s="219">
        <v>40</v>
      </c>
      <c r="C35" s="240">
        <v>3.21</v>
      </c>
      <c r="D35" s="287">
        <v>128.4</v>
      </c>
      <c r="E35" s="644"/>
    </row>
    <row r="36" spans="1:5" ht="30" customHeight="1" x14ac:dyDescent="0.2">
      <c r="A36" s="286" t="s">
        <v>399</v>
      </c>
      <c r="B36" s="219">
        <v>10</v>
      </c>
      <c r="C36" s="240">
        <v>4.47</v>
      </c>
      <c r="D36" s="287">
        <v>44.7</v>
      </c>
      <c r="E36" s="645" t="s">
        <v>400</v>
      </c>
    </row>
    <row r="37" spans="1:5" ht="30" customHeight="1" x14ac:dyDescent="0.2">
      <c r="A37" s="286" t="s">
        <v>608</v>
      </c>
      <c r="B37" s="219">
        <v>10</v>
      </c>
      <c r="C37" s="240">
        <v>11.61</v>
      </c>
      <c r="D37" s="287">
        <v>116.1</v>
      </c>
      <c r="E37" s="645"/>
    </row>
    <row r="38" spans="1:5" ht="30" customHeight="1" x14ac:dyDescent="0.2">
      <c r="A38" s="286" t="s">
        <v>609</v>
      </c>
      <c r="B38" s="219">
        <v>30</v>
      </c>
      <c r="C38" s="240">
        <v>1.92</v>
      </c>
      <c r="D38" s="287">
        <v>57.6</v>
      </c>
      <c r="E38" s="243" t="s">
        <v>610</v>
      </c>
    </row>
    <row r="39" spans="1:5" ht="30" customHeight="1" x14ac:dyDescent="0.2">
      <c r="A39" s="286" t="s">
        <v>72</v>
      </c>
      <c r="B39" s="219" t="s">
        <v>611</v>
      </c>
      <c r="C39" s="240">
        <v>12.05</v>
      </c>
      <c r="D39" s="287">
        <v>120.5</v>
      </c>
      <c r="E39" s="175" t="s">
        <v>612</v>
      </c>
    </row>
    <row r="40" spans="1:5" ht="30" customHeight="1" x14ac:dyDescent="0.2">
      <c r="A40" s="286" t="s">
        <v>19</v>
      </c>
      <c r="B40" s="219" t="s">
        <v>613</v>
      </c>
      <c r="C40" s="240" t="s">
        <v>614</v>
      </c>
      <c r="D40" s="287" t="s">
        <v>615</v>
      </c>
      <c r="E40" s="644" t="s">
        <v>472</v>
      </c>
    </row>
    <row r="41" spans="1:5" ht="30" customHeight="1" x14ac:dyDescent="0.2">
      <c r="A41" s="286" t="s">
        <v>616</v>
      </c>
      <c r="B41" s="219" t="s">
        <v>613</v>
      </c>
      <c r="C41" s="240" t="s">
        <v>617</v>
      </c>
      <c r="D41" s="287" t="s">
        <v>618</v>
      </c>
      <c r="E41" s="644"/>
    </row>
    <row r="42" spans="1:5" ht="30" customHeight="1" x14ac:dyDescent="0.2">
      <c r="A42" s="286" t="s">
        <v>473</v>
      </c>
      <c r="B42" s="219">
        <v>80</v>
      </c>
      <c r="C42" s="240" t="s">
        <v>619</v>
      </c>
      <c r="D42" s="287" t="s">
        <v>620</v>
      </c>
      <c r="E42" s="645" t="s">
        <v>474</v>
      </c>
    </row>
    <row r="43" spans="1:5" ht="30" customHeight="1" x14ac:dyDescent="0.2">
      <c r="A43" s="286" t="s">
        <v>621</v>
      </c>
      <c r="B43" s="219">
        <v>80</v>
      </c>
      <c r="C43" s="240">
        <v>4.91</v>
      </c>
      <c r="D43" s="287">
        <v>392.8</v>
      </c>
      <c r="E43" s="645"/>
    </row>
    <row r="44" spans="1:5" ht="30" customHeight="1" x14ac:dyDescent="0.2">
      <c r="A44" s="286" t="s">
        <v>21</v>
      </c>
      <c r="B44" s="219">
        <v>25</v>
      </c>
      <c r="C44" s="240" t="s">
        <v>622</v>
      </c>
      <c r="D44" s="287" t="s">
        <v>623</v>
      </c>
      <c r="E44" s="644" t="s">
        <v>624</v>
      </c>
    </row>
    <row r="45" spans="1:5" ht="30" customHeight="1" x14ac:dyDescent="0.2">
      <c r="A45" s="286" t="s">
        <v>625</v>
      </c>
      <c r="B45" s="219">
        <v>25</v>
      </c>
      <c r="C45" s="240" t="s">
        <v>626</v>
      </c>
      <c r="D45" s="287" t="s">
        <v>627</v>
      </c>
      <c r="E45" s="644"/>
    </row>
    <row r="46" spans="1:5" ht="30" customHeight="1" x14ac:dyDescent="0.2">
      <c r="A46" s="286" t="s">
        <v>23</v>
      </c>
      <c r="B46" s="219" t="s">
        <v>238</v>
      </c>
      <c r="C46" s="240" t="s">
        <v>476</v>
      </c>
      <c r="D46" s="287" t="s">
        <v>477</v>
      </c>
      <c r="E46" s="644" t="s">
        <v>628</v>
      </c>
    </row>
    <row r="47" spans="1:5" ht="30" customHeight="1" x14ac:dyDescent="0.2">
      <c r="A47" s="286" t="s">
        <v>629</v>
      </c>
      <c r="B47" s="219" t="s">
        <v>238</v>
      </c>
      <c r="C47" s="240">
        <v>9.15</v>
      </c>
      <c r="D47" s="287" t="s">
        <v>478</v>
      </c>
      <c r="E47" s="644"/>
    </row>
    <row r="48" spans="1:5" ht="30" customHeight="1" x14ac:dyDescent="0.2">
      <c r="A48" s="286" t="s">
        <v>1077</v>
      </c>
      <c r="B48" s="219" t="s">
        <v>630</v>
      </c>
      <c r="C48" s="240" t="s">
        <v>631</v>
      </c>
      <c r="D48" s="287" t="s">
        <v>632</v>
      </c>
      <c r="E48" s="220" t="s">
        <v>479</v>
      </c>
    </row>
    <row r="49" spans="1:5" ht="30" customHeight="1" x14ac:dyDescent="0.2">
      <c r="A49" s="286" t="s">
        <v>24</v>
      </c>
      <c r="B49" s="219" t="s">
        <v>73</v>
      </c>
      <c r="C49" s="240" t="s">
        <v>633</v>
      </c>
      <c r="D49" s="287" t="s">
        <v>634</v>
      </c>
      <c r="E49" s="644" t="s">
        <v>344</v>
      </c>
    </row>
    <row r="50" spans="1:5" ht="30" customHeight="1" x14ac:dyDescent="0.2">
      <c r="A50" s="286" t="s">
        <v>635</v>
      </c>
      <c r="B50" s="219" t="s">
        <v>73</v>
      </c>
      <c r="C50" s="240" t="s">
        <v>636</v>
      </c>
      <c r="D50" s="287" t="s">
        <v>637</v>
      </c>
      <c r="E50" s="644"/>
    </row>
    <row r="51" spans="1:5" ht="30" customHeight="1" x14ac:dyDescent="0.2">
      <c r="A51" s="286" t="s">
        <v>93</v>
      </c>
      <c r="B51" s="219" t="s">
        <v>73</v>
      </c>
      <c r="C51" s="240" t="s">
        <v>638</v>
      </c>
      <c r="D51" s="287" t="s">
        <v>639</v>
      </c>
      <c r="E51" s="220" t="s">
        <v>480</v>
      </c>
    </row>
    <row r="52" spans="1:5" ht="30" customHeight="1" x14ac:dyDescent="0.2">
      <c r="A52" s="286" t="s">
        <v>25</v>
      </c>
      <c r="B52" s="219">
        <v>20</v>
      </c>
      <c r="C52" s="240" t="s">
        <v>640</v>
      </c>
      <c r="D52" s="287" t="s">
        <v>641</v>
      </c>
      <c r="E52" s="644" t="s">
        <v>642</v>
      </c>
    </row>
    <row r="53" spans="1:5" ht="30" customHeight="1" x14ac:dyDescent="0.2">
      <c r="A53" s="286" t="s">
        <v>643</v>
      </c>
      <c r="B53" s="219">
        <v>20</v>
      </c>
      <c r="C53" s="240">
        <v>7.48</v>
      </c>
      <c r="D53" s="287">
        <v>149.6</v>
      </c>
      <c r="E53" s="644"/>
    </row>
    <row r="54" spans="1:5" ht="30" customHeight="1" x14ac:dyDescent="0.2">
      <c r="A54" s="286" t="s">
        <v>26</v>
      </c>
      <c r="B54" s="219" t="s">
        <v>644</v>
      </c>
      <c r="C54" s="240" t="s">
        <v>645</v>
      </c>
      <c r="D54" s="287" t="s">
        <v>646</v>
      </c>
      <c r="E54" s="642" t="s">
        <v>647</v>
      </c>
    </row>
    <row r="55" spans="1:5" ht="30" customHeight="1" x14ac:dyDescent="0.2">
      <c r="A55" s="286" t="s">
        <v>648</v>
      </c>
      <c r="B55" s="219" t="s">
        <v>644</v>
      </c>
      <c r="C55" s="240" t="s">
        <v>649</v>
      </c>
      <c r="D55" s="287" t="s">
        <v>650</v>
      </c>
      <c r="E55" s="642"/>
    </row>
    <row r="56" spans="1:5" ht="30" customHeight="1" x14ac:dyDescent="0.2">
      <c r="A56" s="286" t="s">
        <v>28</v>
      </c>
      <c r="B56" s="219" t="s">
        <v>396</v>
      </c>
      <c r="C56" s="240">
        <v>2.2000000000000002</v>
      </c>
      <c r="D56" s="287" t="s">
        <v>401</v>
      </c>
      <c r="E56" s="643" t="s">
        <v>481</v>
      </c>
    </row>
    <row r="57" spans="1:5" ht="30" customHeight="1" x14ac:dyDescent="0.2">
      <c r="A57" s="286" t="s">
        <v>651</v>
      </c>
      <c r="B57" s="219" t="s">
        <v>396</v>
      </c>
      <c r="C57" s="240">
        <v>3.3</v>
      </c>
      <c r="D57" s="287" t="s">
        <v>402</v>
      </c>
      <c r="E57" s="643"/>
    </row>
    <row r="58" spans="1:5" ht="30" customHeight="1" x14ac:dyDescent="0.2">
      <c r="A58" s="286" t="s">
        <v>30</v>
      </c>
      <c r="B58" s="219" t="s">
        <v>611</v>
      </c>
      <c r="C58" s="240" t="s">
        <v>652</v>
      </c>
      <c r="D58" s="287" t="s">
        <v>653</v>
      </c>
      <c r="E58" s="43" t="s">
        <v>345</v>
      </c>
    </row>
    <row r="59" spans="1:5" ht="30" customHeight="1" x14ac:dyDescent="0.2">
      <c r="A59" s="286" t="s">
        <v>31</v>
      </c>
      <c r="B59" s="219" t="s">
        <v>73</v>
      </c>
      <c r="C59" s="240" t="s">
        <v>654</v>
      </c>
      <c r="D59" s="287" t="s">
        <v>655</v>
      </c>
      <c r="E59" s="644" t="s">
        <v>482</v>
      </c>
    </row>
    <row r="60" spans="1:5" ht="30" customHeight="1" x14ac:dyDescent="0.2">
      <c r="A60" s="286" t="s">
        <v>656</v>
      </c>
      <c r="B60" s="219" t="s">
        <v>73</v>
      </c>
      <c r="C60" s="240" t="s">
        <v>657</v>
      </c>
      <c r="D60" s="287" t="s">
        <v>658</v>
      </c>
      <c r="E60" s="644"/>
    </row>
    <row r="61" spans="1:5" ht="30" customHeight="1" x14ac:dyDescent="0.2">
      <c r="A61" s="286" t="s">
        <v>74</v>
      </c>
      <c r="B61" s="219">
        <v>110</v>
      </c>
      <c r="C61" s="240">
        <v>2.13</v>
      </c>
      <c r="D61" s="287">
        <v>234.3</v>
      </c>
      <c r="E61" s="645" t="s">
        <v>483</v>
      </c>
    </row>
    <row r="62" spans="1:5" ht="30" customHeight="1" x14ac:dyDescent="0.2">
      <c r="A62" s="286" t="s">
        <v>842</v>
      </c>
      <c r="B62" s="219">
        <v>110</v>
      </c>
      <c r="C62" s="240">
        <v>2.13</v>
      </c>
      <c r="D62" s="287">
        <v>234.3</v>
      </c>
      <c r="E62" s="645"/>
    </row>
    <row r="63" spans="1:5" ht="30" customHeight="1" x14ac:dyDescent="0.2">
      <c r="A63" s="286" t="s">
        <v>264</v>
      </c>
      <c r="B63" s="219" t="s">
        <v>75</v>
      </c>
      <c r="C63" s="240" t="s">
        <v>659</v>
      </c>
      <c r="D63" s="287" t="s">
        <v>660</v>
      </c>
      <c r="E63" s="645" t="s">
        <v>661</v>
      </c>
    </row>
    <row r="64" spans="1:5" ht="30" customHeight="1" x14ac:dyDescent="0.2">
      <c r="A64" s="286" t="s">
        <v>662</v>
      </c>
      <c r="B64" s="219" t="s">
        <v>75</v>
      </c>
      <c r="C64" s="240" t="s">
        <v>663</v>
      </c>
      <c r="D64" s="287" t="s">
        <v>664</v>
      </c>
      <c r="E64" s="645"/>
    </row>
    <row r="65" spans="1:5" ht="30" customHeight="1" x14ac:dyDescent="0.2">
      <c r="A65" s="286" t="s">
        <v>94</v>
      </c>
      <c r="B65" s="219">
        <v>30</v>
      </c>
      <c r="C65" s="240" t="s">
        <v>665</v>
      </c>
      <c r="D65" s="287" t="s">
        <v>666</v>
      </c>
      <c r="E65" s="43" t="s">
        <v>484</v>
      </c>
    </row>
    <row r="66" spans="1:5" ht="71.25" x14ac:dyDescent="0.2">
      <c r="A66" s="286" t="s">
        <v>485</v>
      </c>
      <c r="B66" s="219">
        <v>80</v>
      </c>
      <c r="C66" s="240">
        <v>2.39</v>
      </c>
      <c r="D66" s="287">
        <v>191.2</v>
      </c>
      <c r="E66" s="241" t="s">
        <v>667</v>
      </c>
    </row>
    <row r="67" spans="1:5" ht="35.1" customHeight="1" x14ac:dyDescent="0.2">
      <c r="A67" s="289" t="s">
        <v>34</v>
      </c>
      <c r="B67" s="290">
        <v>20</v>
      </c>
      <c r="C67" s="291">
        <v>2.19</v>
      </c>
      <c r="D67" s="292">
        <v>243.8</v>
      </c>
      <c r="E67" s="80" t="s">
        <v>346</v>
      </c>
    </row>
    <row r="68" spans="1:5" ht="30" customHeight="1" x14ac:dyDescent="0.2">
      <c r="A68" s="286" t="s">
        <v>33</v>
      </c>
      <c r="B68" s="219">
        <v>10</v>
      </c>
      <c r="C68" s="240">
        <v>5.95</v>
      </c>
      <c r="D68" s="287">
        <v>59.5</v>
      </c>
      <c r="E68" s="241" t="s">
        <v>486</v>
      </c>
    </row>
    <row r="69" spans="1:5" ht="30" customHeight="1" x14ac:dyDescent="0.2">
      <c r="A69" s="286" t="s">
        <v>35</v>
      </c>
      <c r="B69" s="219" t="s">
        <v>668</v>
      </c>
      <c r="C69" s="240" t="s">
        <v>669</v>
      </c>
      <c r="D69" s="287" t="s">
        <v>670</v>
      </c>
      <c r="E69" s="642" t="s">
        <v>671</v>
      </c>
    </row>
    <row r="70" spans="1:5" ht="30" customHeight="1" x14ac:dyDescent="0.2">
      <c r="A70" s="286" t="s">
        <v>672</v>
      </c>
      <c r="B70" s="219" t="s">
        <v>668</v>
      </c>
      <c r="C70" s="240" t="s">
        <v>673</v>
      </c>
      <c r="D70" s="287" t="s">
        <v>674</v>
      </c>
      <c r="E70" s="642"/>
    </row>
    <row r="71" spans="1:5" ht="30" customHeight="1" x14ac:dyDescent="0.2">
      <c r="A71" s="286" t="s">
        <v>1078</v>
      </c>
      <c r="B71" s="219">
        <v>20</v>
      </c>
      <c r="C71" s="240" t="s">
        <v>676</v>
      </c>
      <c r="D71" s="287" t="s">
        <v>677</v>
      </c>
      <c r="E71" s="43" t="s">
        <v>487</v>
      </c>
    </row>
    <row r="72" spans="1:5" ht="42.75" x14ac:dyDescent="0.2">
      <c r="A72" s="286" t="s">
        <v>37</v>
      </c>
      <c r="B72" s="219" t="s">
        <v>668</v>
      </c>
      <c r="C72" s="240" t="s">
        <v>678</v>
      </c>
      <c r="D72" s="287" t="s">
        <v>679</v>
      </c>
      <c r="E72" s="175" t="s">
        <v>488</v>
      </c>
    </row>
    <row r="73" spans="1:5" ht="30" customHeight="1" x14ac:dyDescent="0.2">
      <c r="A73" s="286" t="s">
        <v>403</v>
      </c>
      <c r="B73" s="219">
        <v>20</v>
      </c>
      <c r="C73" s="240">
        <v>21.52</v>
      </c>
      <c r="D73" s="287">
        <v>430.4</v>
      </c>
      <c r="E73" s="175" t="s">
        <v>489</v>
      </c>
    </row>
    <row r="74" spans="1:5" ht="42.75" x14ac:dyDescent="0.2">
      <c r="A74" s="286" t="s">
        <v>490</v>
      </c>
      <c r="B74" s="219">
        <v>25</v>
      </c>
      <c r="C74" s="240" t="s">
        <v>680</v>
      </c>
      <c r="D74" s="287" t="s">
        <v>681</v>
      </c>
      <c r="E74" s="220" t="s">
        <v>682</v>
      </c>
    </row>
    <row r="75" spans="1:5" ht="30" customHeight="1" x14ac:dyDescent="0.2">
      <c r="A75" s="286" t="s">
        <v>38</v>
      </c>
      <c r="B75" s="219" t="s">
        <v>77</v>
      </c>
      <c r="C75" s="240" t="s">
        <v>683</v>
      </c>
      <c r="D75" s="287" t="s">
        <v>684</v>
      </c>
      <c r="E75" s="643" t="s">
        <v>685</v>
      </c>
    </row>
    <row r="76" spans="1:5" ht="30" customHeight="1" x14ac:dyDescent="0.2">
      <c r="A76" s="286" t="s">
        <v>686</v>
      </c>
      <c r="B76" s="219" t="s">
        <v>77</v>
      </c>
      <c r="C76" s="240">
        <v>3.77</v>
      </c>
      <c r="D76" s="287" t="s">
        <v>491</v>
      </c>
      <c r="E76" s="643"/>
    </row>
    <row r="77" spans="1:5" ht="30" customHeight="1" x14ac:dyDescent="0.2">
      <c r="A77" s="286" t="s">
        <v>208</v>
      </c>
      <c r="B77" s="219">
        <v>100</v>
      </c>
      <c r="C77" s="240" t="s">
        <v>687</v>
      </c>
      <c r="D77" s="287" t="s">
        <v>688</v>
      </c>
      <c r="E77" s="643" t="s">
        <v>689</v>
      </c>
    </row>
    <row r="78" spans="1:5" ht="30" customHeight="1" x14ac:dyDescent="0.2">
      <c r="A78" s="286" t="s">
        <v>690</v>
      </c>
      <c r="B78" s="219">
        <v>100</v>
      </c>
      <c r="C78" s="240">
        <v>2.85</v>
      </c>
      <c r="D78" s="287">
        <v>285</v>
      </c>
      <c r="E78" s="643"/>
    </row>
    <row r="79" spans="1:5" ht="30" customHeight="1" x14ac:dyDescent="0.2">
      <c r="A79" s="286" t="s">
        <v>39</v>
      </c>
      <c r="B79" s="219">
        <v>12</v>
      </c>
      <c r="C79" s="240" t="s">
        <v>691</v>
      </c>
      <c r="D79" s="287" t="s">
        <v>692</v>
      </c>
      <c r="E79" s="644" t="s">
        <v>693</v>
      </c>
    </row>
    <row r="80" spans="1:5" ht="30" customHeight="1" x14ac:dyDescent="0.2">
      <c r="A80" s="286" t="s">
        <v>694</v>
      </c>
      <c r="B80" s="219">
        <v>12</v>
      </c>
      <c r="C80" s="240">
        <v>15.67</v>
      </c>
      <c r="D80" s="287">
        <v>188.04</v>
      </c>
      <c r="E80" s="644"/>
    </row>
    <row r="81" spans="1:5" ht="30" customHeight="1" x14ac:dyDescent="0.2">
      <c r="A81" s="286" t="s">
        <v>404</v>
      </c>
      <c r="B81" s="219" t="s">
        <v>405</v>
      </c>
      <c r="C81" s="240">
        <v>2.37</v>
      </c>
      <c r="D81" s="287" t="s">
        <v>695</v>
      </c>
      <c r="E81" s="643" t="s">
        <v>492</v>
      </c>
    </row>
    <row r="82" spans="1:5" ht="30" customHeight="1" x14ac:dyDescent="0.2">
      <c r="A82" s="286" t="s">
        <v>696</v>
      </c>
      <c r="B82" s="219" t="s">
        <v>405</v>
      </c>
      <c r="C82" s="240">
        <v>2.5299999999999998</v>
      </c>
      <c r="D82" s="287" t="s">
        <v>697</v>
      </c>
      <c r="E82" s="643"/>
    </row>
    <row r="83" spans="1:5" ht="30" customHeight="1" x14ac:dyDescent="0.2">
      <c r="A83" s="286" t="s">
        <v>41</v>
      </c>
      <c r="B83" s="219" t="s">
        <v>611</v>
      </c>
      <c r="C83" s="240" t="s">
        <v>698</v>
      </c>
      <c r="D83" s="287" t="s">
        <v>699</v>
      </c>
      <c r="E83" s="220" t="s">
        <v>493</v>
      </c>
    </row>
    <row r="84" spans="1:5" ht="30" customHeight="1" x14ac:dyDescent="0.2">
      <c r="A84" s="286" t="s">
        <v>121</v>
      </c>
      <c r="B84" s="219" t="s">
        <v>611</v>
      </c>
      <c r="C84" s="240" t="s">
        <v>700</v>
      </c>
      <c r="D84" s="287" t="s">
        <v>701</v>
      </c>
      <c r="E84" s="43" t="s">
        <v>494</v>
      </c>
    </row>
    <row r="85" spans="1:5" ht="30" customHeight="1" x14ac:dyDescent="0.2">
      <c r="A85" s="286" t="s">
        <v>42</v>
      </c>
      <c r="B85" s="219" t="s">
        <v>495</v>
      </c>
      <c r="C85" s="240" t="s">
        <v>702</v>
      </c>
      <c r="D85" s="287" t="s">
        <v>703</v>
      </c>
      <c r="E85" s="644" t="s">
        <v>347</v>
      </c>
    </row>
    <row r="86" spans="1:5" ht="30" customHeight="1" x14ac:dyDescent="0.2">
      <c r="A86" s="286" t="s">
        <v>704</v>
      </c>
      <c r="B86" s="219" t="s">
        <v>495</v>
      </c>
      <c r="C86" s="240" t="s">
        <v>496</v>
      </c>
      <c r="D86" s="287" t="s">
        <v>705</v>
      </c>
      <c r="E86" s="644"/>
    </row>
    <row r="87" spans="1:5" ht="30" customHeight="1" x14ac:dyDescent="0.2">
      <c r="A87" s="286" t="s">
        <v>408</v>
      </c>
      <c r="B87" s="219">
        <v>15</v>
      </c>
      <c r="C87" s="240">
        <v>26.01</v>
      </c>
      <c r="D87" s="287">
        <v>390.2</v>
      </c>
      <c r="E87" s="43" t="s">
        <v>497</v>
      </c>
    </row>
    <row r="88" spans="1:5" ht="30" customHeight="1" x14ac:dyDescent="0.2">
      <c r="A88" s="286" t="s">
        <v>409</v>
      </c>
      <c r="B88" s="219">
        <v>15</v>
      </c>
      <c r="C88" s="240">
        <v>5.83</v>
      </c>
      <c r="D88" s="287">
        <v>87.5</v>
      </c>
      <c r="E88" s="176" t="s">
        <v>410</v>
      </c>
    </row>
    <row r="89" spans="1:5" x14ac:dyDescent="0.2">
      <c r="A89" s="626" t="s">
        <v>498</v>
      </c>
      <c r="B89" s="627"/>
      <c r="C89" s="627"/>
      <c r="D89" s="627"/>
      <c r="E89" s="628"/>
    </row>
    <row r="90" spans="1:5" ht="36" customHeight="1" x14ac:dyDescent="0.2">
      <c r="A90" s="244"/>
      <c r="B90" s="244"/>
      <c r="C90" s="244"/>
      <c r="D90" s="244"/>
      <c r="E90" s="244"/>
    </row>
    <row r="91" spans="1:5" ht="24.95" customHeight="1" x14ac:dyDescent="0.2">
      <c r="A91" s="293" t="s">
        <v>499</v>
      </c>
      <c r="B91" s="40" t="s">
        <v>60</v>
      </c>
      <c r="C91" s="177" t="s">
        <v>411</v>
      </c>
      <c r="D91" s="178" t="s">
        <v>412</v>
      </c>
      <c r="E91" s="40" t="s">
        <v>413</v>
      </c>
    </row>
    <row r="92" spans="1:5" ht="42.75" customHeight="1" x14ac:dyDescent="0.2">
      <c r="A92" s="221" t="s">
        <v>500</v>
      </c>
      <c r="B92" s="222">
        <v>25</v>
      </c>
      <c r="C92" s="240">
        <f>85/B92</f>
        <v>3.4</v>
      </c>
      <c r="D92" s="242">
        <f>C92*B92</f>
        <v>85</v>
      </c>
      <c r="E92" s="220" t="s">
        <v>501</v>
      </c>
    </row>
    <row r="93" spans="1:5" ht="42.75" customHeight="1" x14ac:dyDescent="0.2">
      <c r="A93" s="221" t="s">
        <v>502</v>
      </c>
      <c r="B93" s="222">
        <v>20</v>
      </c>
      <c r="C93" s="240">
        <f>85/B93</f>
        <v>4.25</v>
      </c>
      <c r="D93" s="242">
        <f>C93*B93</f>
        <v>85</v>
      </c>
      <c r="E93" s="220" t="s">
        <v>503</v>
      </c>
    </row>
    <row r="94" spans="1:5" ht="18" customHeight="1" x14ac:dyDescent="0.2">
      <c r="A94" s="626" t="s">
        <v>504</v>
      </c>
      <c r="B94" s="627"/>
      <c r="C94" s="627"/>
      <c r="D94" s="627"/>
      <c r="E94" s="628"/>
    </row>
    <row r="95" spans="1:5" ht="36" customHeight="1" x14ac:dyDescent="0.2">
      <c r="A95" s="314"/>
      <c r="B95" s="294"/>
      <c r="C95" s="294"/>
      <c r="D95" s="294"/>
      <c r="E95" s="315"/>
    </row>
    <row r="96" spans="1:5" ht="36" customHeight="1" x14ac:dyDescent="0.2">
      <c r="A96" s="293" t="s">
        <v>78</v>
      </c>
      <c r="B96" s="40" t="s">
        <v>60</v>
      </c>
      <c r="C96" s="177" t="s">
        <v>411</v>
      </c>
      <c r="D96" s="178" t="s">
        <v>412</v>
      </c>
      <c r="E96" s="40" t="s">
        <v>413</v>
      </c>
    </row>
    <row r="97" spans="1:5" ht="24.95" customHeight="1" x14ac:dyDescent="0.2">
      <c r="A97" s="221" t="s">
        <v>706</v>
      </c>
      <c r="B97" s="219">
        <v>23</v>
      </c>
      <c r="C97" s="240">
        <v>3.32</v>
      </c>
      <c r="D97" s="242">
        <f t="shared" ref="D97:D113" si="0">C97*B97</f>
        <v>76.36</v>
      </c>
      <c r="E97" s="220" t="s">
        <v>505</v>
      </c>
    </row>
    <row r="98" spans="1:5" ht="30" customHeight="1" x14ac:dyDescent="0.2">
      <c r="A98" s="221" t="s">
        <v>506</v>
      </c>
      <c r="B98" s="219">
        <v>23</v>
      </c>
      <c r="C98" s="240">
        <v>3.51</v>
      </c>
      <c r="D98" s="242">
        <f t="shared" si="0"/>
        <v>80.72999999999999</v>
      </c>
      <c r="E98" s="220" t="s">
        <v>707</v>
      </c>
    </row>
    <row r="99" spans="1:5" ht="24.95" customHeight="1" x14ac:dyDescent="0.2">
      <c r="A99" s="221" t="s">
        <v>511</v>
      </c>
      <c r="B99" s="219">
        <v>28</v>
      </c>
      <c r="C99" s="240">
        <v>3.36</v>
      </c>
      <c r="D99" s="242">
        <f t="shared" si="0"/>
        <v>94.08</v>
      </c>
      <c r="E99" s="220" t="s">
        <v>708</v>
      </c>
    </row>
    <row r="100" spans="1:5" ht="30" customHeight="1" x14ac:dyDescent="0.2">
      <c r="A100" s="221" t="s">
        <v>709</v>
      </c>
      <c r="B100" s="219">
        <v>23</v>
      </c>
      <c r="C100" s="240">
        <v>3.27</v>
      </c>
      <c r="D100" s="242">
        <f t="shared" si="0"/>
        <v>75.209999999999994</v>
      </c>
      <c r="E100" s="220" t="s">
        <v>710</v>
      </c>
    </row>
    <row r="101" spans="1:5" ht="30" customHeight="1" x14ac:dyDescent="0.2">
      <c r="A101" s="221" t="s">
        <v>349</v>
      </c>
      <c r="B101" s="219">
        <v>25</v>
      </c>
      <c r="C101" s="240">
        <v>3.31</v>
      </c>
      <c r="D101" s="242">
        <f t="shared" si="0"/>
        <v>82.75</v>
      </c>
      <c r="E101" s="220" t="s">
        <v>711</v>
      </c>
    </row>
    <row r="102" spans="1:5" ht="30" customHeight="1" x14ac:dyDescent="0.2">
      <c r="A102" s="221" t="s">
        <v>507</v>
      </c>
      <c r="B102" s="219">
        <v>33</v>
      </c>
      <c r="C102" s="240">
        <v>3.39</v>
      </c>
      <c r="D102" s="242">
        <f t="shared" si="0"/>
        <v>111.87</v>
      </c>
      <c r="E102" s="220" t="s">
        <v>352</v>
      </c>
    </row>
    <row r="103" spans="1:5" ht="30" customHeight="1" x14ac:dyDescent="0.2">
      <c r="A103" s="221" t="s">
        <v>350</v>
      </c>
      <c r="B103" s="219">
        <v>33</v>
      </c>
      <c r="C103" s="240">
        <v>3.66</v>
      </c>
      <c r="D103" s="242">
        <f t="shared" si="0"/>
        <v>120.78</v>
      </c>
      <c r="E103" s="220" t="s">
        <v>351</v>
      </c>
    </row>
    <row r="104" spans="1:5" ht="24.95" customHeight="1" x14ac:dyDescent="0.2">
      <c r="A104" s="221" t="s">
        <v>508</v>
      </c>
      <c r="B104" s="219">
        <v>43</v>
      </c>
      <c r="C104" s="240">
        <v>3.07</v>
      </c>
      <c r="D104" s="242">
        <f t="shared" si="0"/>
        <v>132.01</v>
      </c>
      <c r="E104" s="220" t="s">
        <v>353</v>
      </c>
    </row>
    <row r="105" spans="1:5" ht="24.95" customHeight="1" x14ac:dyDescent="0.2">
      <c r="A105" s="221" t="s">
        <v>712</v>
      </c>
      <c r="B105" s="219">
        <v>35</v>
      </c>
      <c r="C105" s="240">
        <v>3.11</v>
      </c>
      <c r="D105" s="242">
        <f t="shared" si="0"/>
        <v>108.85</v>
      </c>
      <c r="E105" s="220" t="s">
        <v>713</v>
      </c>
    </row>
    <row r="106" spans="1:5" ht="24.95" customHeight="1" x14ac:dyDescent="0.2">
      <c r="A106" s="221" t="s">
        <v>512</v>
      </c>
      <c r="B106" s="219">
        <v>55</v>
      </c>
      <c r="C106" s="240">
        <v>3</v>
      </c>
      <c r="D106" s="242">
        <f t="shared" si="0"/>
        <v>165</v>
      </c>
      <c r="E106" s="220" t="s">
        <v>354</v>
      </c>
    </row>
    <row r="107" spans="1:5" ht="30" customHeight="1" x14ac:dyDescent="0.2">
      <c r="A107" s="221" t="s">
        <v>509</v>
      </c>
      <c r="B107" s="219">
        <v>45</v>
      </c>
      <c r="C107" s="240">
        <v>3.25</v>
      </c>
      <c r="D107" s="242">
        <f t="shared" si="0"/>
        <v>146.25</v>
      </c>
      <c r="E107" s="220" t="s">
        <v>510</v>
      </c>
    </row>
    <row r="108" spans="1:5" ht="24.95" customHeight="1" x14ac:dyDescent="0.2">
      <c r="A108" s="221" t="s">
        <v>714</v>
      </c>
      <c r="B108" s="219">
        <v>55</v>
      </c>
      <c r="C108" s="240">
        <v>3.27</v>
      </c>
      <c r="D108" s="242">
        <f t="shared" si="0"/>
        <v>179.85</v>
      </c>
      <c r="E108" s="220" t="s">
        <v>715</v>
      </c>
    </row>
    <row r="109" spans="1:5" ht="24.95" customHeight="1" x14ac:dyDescent="0.2">
      <c r="A109" s="221" t="s">
        <v>716</v>
      </c>
      <c r="B109" s="219">
        <v>40</v>
      </c>
      <c r="C109" s="240">
        <v>4.0999999999999996</v>
      </c>
      <c r="D109" s="242">
        <f t="shared" si="0"/>
        <v>164</v>
      </c>
      <c r="E109" s="220" t="s">
        <v>513</v>
      </c>
    </row>
    <row r="110" spans="1:5" ht="24.95" customHeight="1" x14ac:dyDescent="0.2">
      <c r="A110" s="221" t="s">
        <v>717</v>
      </c>
      <c r="B110" s="219">
        <v>25</v>
      </c>
      <c r="C110" s="240">
        <v>3.85</v>
      </c>
      <c r="D110" s="242">
        <f t="shared" si="0"/>
        <v>96.25</v>
      </c>
      <c r="E110" s="220" t="s">
        <v>514</v>
      </c>
    </row>
    <row r="111" spans="1:5" ht="24.95" customHeight="1" x14ac:dyDescent="0.2">
      <c r="A111" s="221" t="s">
        <v>718</v>
      </c>
      <c r="B111" s="219">
        <v>35</v>
      </c>
      <c r="C111" s="240">
        <v>4.16</v>
      </c>
      <c r="D111" s="242">
        <f t="shared" si="0"/>
        <v>145.6</v>
      </c>
      <c r="E111" s="220" t="s">
        <v>515</v>
      </c>
    </row>
    <row r="112" spans="1:5" ht="24.95" customHeight="1" x14ac:dyDescent="0.2">
      <c r="A112" s="221" t="s">
        <v>719</v>
      </c>
      <c r="B112" s="219">
        <v>45</v>
      </c>
      <c r="C112" s="240">
        <v>3.6</v>
      </c>
      <c r="D112" s="242">
        <f t="shared" si="0"/>
        <v>162</v>
      </c>
      <c r="E112" s="220" t="s">
        <v>516</v>
      </c>
    </row>
    <row r="113" spans="1:5" ht="30" customHeight="1" x14ac:dyDescent="0.2">
      <c r="A113" s="221" t="s">
        <v>720</v>
      </c>
      <c r="B113" s="219">
        <v>45</v>
      </c>
      <c r="C113" s="240">
        <v>3.71</v>
      </c>
      <c r="D113" s="242">
        <f t="shared" si="0"/>
        <v>166.95</v>
      </c>
      <c r="E113" s="220" t="s">
        <v>517</v>
      </c>
    </row>
    <row r="114" spans="1:5" ht="15" customHeight="1" x14ac:dyDescent="0.2">
      <c r="A114" s="637" t="s">
        <v>721</v>
      </c>
      <c r="B114" s="638"/>
      <c r="C114" s="638"/>
      <c r="D114" s="638"/>
      <c r="E114" s="639"/>
    </row>
    <row r="115" spans="1:5" ht="15" customHeight="1" x14ac:dyDescent="0.2">
      <c r="A115" s="626" t="s">
        <v>722</v>
      </c>
      <c r="B115" s="627"/>
      <c r="C115" s="627"/>
      <c r="D115" s="627"/>
      <c r="E115" s="628"/>
    </row>
    <row r="116" spans="1:5" ht="36" customHeight="1" x14ac:dyDescent="0.2">
      <c r="A116" s="316"/>
      <c r="B116" s="316"/>
      <c r="C116" s="316"/>
      <c r="D116" s="316"/>
    </row>
    <row r="117" spans="1:5" ht="36" customHeight="1" x14ac:dyDescent="0.2">
      <c r="A117" s="317" t="s">
        <v>97</v>
      </c>
      <c r="B117" s="318" t="s">
        <v>60</v>
      </c>
      <c r="C117" s="177" t="s">
        <v>411</v>
      </c>
      <c r="D117" s="178" t="s">
        <v>412</v>
      </c>
      <c r="E117" s="40" t="s">
        <v>413</v>
      </c>
    </row>
    <row r="118" spans="1:5" ht="24.95" customHeight="1" x14ac:dyDescent="0.2">
      <c r="A118" s="221" t="s">
        <v>414</v>
      </c>
      <c r="B118" s="215">
        <v>20</v>
      </c>
      <c r="C118" s="295">
        <v>3.8</v>
      </c>
      <c r="D118" s="296">
        <v>76</v>
      </c>
      <c r="E118" s="216" t="s">
        <v>415</v>
      </c>
    </row>
    <row r="119" spans="1:5" ht="24.95" customHeight="1" x14ac:dyDescent="0.2">
      <c r="A119" s="221" t="s">
        <v>355</v>
      </c>
      <c r="B119" s="215">
        <v>20</v>
      </c>
      <c r="C119" s="295">
        <v>3.8</v>
      </c>
      <c r="D119" s="296">
        <v>76</v>
      </c>
      <c r="E119" s="216" t="s">
        <v>416</v>
      </c>
    </row>
    <row r="120" spans="1:5" ht="24.95" customHeight="1" x14ac:dyDescent="0.2">
      <c r="A120" s="221" t="s">
        <v>356</v>
      </c>
      <c r="B120" s="215">
        <v>15</v>
      </c>
      <c r="C120" s="295">
        <v>5.59</v>
      </c>
      <c r="D120" s="296">
        <v>83.9</v>
      </c>
      <c r="E120" s="216" t="s">
        <v>417</v>
      </c>
    </row>
    <row r="121" spans="1:5" ht="30.75" customHeight="1" x14ac:dyDescent="0.2">
      <c r="A121" s="221" t="s">
        <v>723</v>
      </c>
      <c r="B121" s="215">
        <v>16</v>
      </c>
      <c r="C121" s="295">
        <v>3.58</v>
      </c>
      <c r="D121" s="296">
        <v>57.3</v>
      </c>
      <c r="E121" s="216" t="s">
        <v>418</v>
      </c>
    </row>
    <row r="122" spans="1:5" ht="24.95" customHeight="1" x14ac:dyDescent="0.2">
      <c r="A122" s="221" t="s">
        <v>724</v>
      </c>
      <c r="B122" s="215">
        <v>14</v>
      </c>
      <c r="C122" s="295">
        <v>3.8</v>
      </c>
      <c r="D122" s="296">
        <v>53.2</v>
      </c>
      <c r="E122" s="216" t="s">
        <v>419</v>
      </c>
    </row>
    <row r="123" spans="1:5" ht="24.95" customHeight="1" x14ac:dyDescent="0.2">
      <c r="A123" s="221" t="s">
        <v>725</v>
      </c>
      <c r="B123" s="215">
        <v>9</v>
      </c>
      <c r="C123" s="295">
        <v>4.5</v>
      </c>
      <c r="D123" s="296">
        <v>40.5</v>
      </c>
      <c r="E123" s="216" t="s">
        <v>420</v>
      </c>
    </row>
    <row r="124" spans="1:5" ht="24.95" customHeight="1" x14ac:dyDescent="0.2">
      <c r="A124" s="221" t="s">
        <v>726</v>
      </c>
      <c r="B124" s="215">
        <v>16</v>
      </c>
      <c r="C124" s="295">
        <v>3.37</v>
      </c>
      <c r="D124" s="296">
        <v>53.9</v>
      </c>
      <c r="E124" s="216" t="s">
        <v>421</v>
      </c>
    </row>
    <row r="125" spans="1:5" ht="24.95" customHeight="1" x14ac:dyDescent="0.2">
      <c r="A125" s="221" t="s">
        <v>727</v>
      </c>
      <c r="B125" s="215">
        <v>13</v>
      </c>
      <c r="C125" s="295">
        <v>4.3499999999999996</v>
      </c>
      <c r="D125" s="296">
        <v>56.6</v>
      </c>
      <c r="E125" s="216" t="s">
        <v>422</v>
      </c>
    </row>
    <row r="126" spans="1:5" ht="24.95" customHeight="1" x14ac:dyDescent="0.2">
      <c r="A126" s="221" t="s">
        <v>423</v>
      </c>
      <c r="B126" s="217" t="s">
        <v>728</v>
      </c>
      <c r="C126" s="295">
        <v>4.49</v>
      </c>
      <c r="D126" s="296"/>
      <c r="E126" s="216" t="s">
        <v>518</v>
      </c>
    </row>
    <row r="127" spans="1:5" ht="24.95" customHeight="1" x14ac:dyDescent="0.2">
      <c r="A127" s="221" t="s">
        <v>424</v>
      </c>
      <c r="B127" s="215">
        <v>16</v>
      </c>
      <c r="C127" s="295">
        <v>3.5</v>
      </c>
      <c r="D127" s="296">
        <v>56</v>
      </c>
      <c r="E127" s="216" t="s">
        <v>519</v>
      </c>
    </row>
    <row r="128" spans="1:5" ht="24.95" customHeight="1" x14ac:dyDescent="0.2">
      <c r="A128" s="221" t="s">
        <v>729</v>
      </c>
      <c r="B128" s="215">
        <v>10</v>
      </c>
      <c r="C128" s="295">
        <v>4.38</v>
      </c>
      <c r="D128" s="296">
        <v>43.8</v>
      </c>
      <c r="E128" s="216" t="s">
        <v>730</v>
      </c>
    </row>
    <row r="129" spans="1:5" ht="24.95" customHeight="1" x14ac:dyDescent="0.2">
      <c r="A129" s="221" t="s">
        <v>425</v>
      </c>
      <c r="B129" s="217">
        <v>8</v>
      </c>
      <c r="C129" s="295">
        <v>4</v>
      </c>
      <c r="D129" s="296">
        <v>32</v>
      </c>
      <c r="E129" s="216" t="s">
        <v>520</v>
      </c>
    </row>
    <row r="130" spans="1:5" ht="28.5" x14ac:dyDescent="0.2">
      <c r="A130" s="221" t="s">
        <v>357</v>
      </c>
      <c r="B130" s="217">
        <v>35</v>
      </c>
      <c r="C130" s="295">
        <v>3.36</v>
      </c>
      <c r="D130" s="296">
        <v>117.6</v>
      </c>
      <c r="E130" s="216" t="s">
        <v>99</v>
      </c>
    </row>
    <row r="131" spans="1:5" ht="42.75" x14ac:dyDescent="0.2">
      <c r="A131" s="221" t="s">
        <v>731</v>
      </c>
      <c r="B131" s="215">
        <v>30</v>
      </c>
      <c r="C131" s="295">
        <v>7.65</v>
      </c>
      <c r="D131" s="296">
        <v>229.5</v>
      </c>
      <c r="E131" s="216" t="s">
        <v>426</v>
      </c>
    </row>
    <row r="132" spans="1:5" ht="42.75" x14ac:dyDescent="0.2">
      <c r="A132" s="221" t="s">
        <v>358</v>
      </c>
      <c r="B132" s="215">
        <v>20</v>
      </c>
      <c r="C132" s="295">
        <v>5.23</v>
      </c>
      <c r="D132" s="296">
        <v>104.6</v>
      </c>
      <c r="E132" s="216" t="s">
        <v>359</v>
      </c>
    </row>
    <row r="133" spans="1:5" ht="15" customHeight="1" x14ac:dyDescent="0.2">
      <c r="A133" s="626" t="s">
        <v>504</v>
      </c>
      <c r="B133" s="627"/>
      <c r="C133" s="627"/>
      <c r="D133" s="627"/>
      <c r="E133" s="628"/>
    </row>
    <row r="134" spans="1:5" ht="36" customHeight="1" x14ac:dyDescent="0.2"/>
    <row r="135" spans="1:5" ht="36" customHeight="1" x14ac:dyDescent="0.2">
      <c r="A135" s="297" t="s">
        <v>732</v>
      </c>
      <c r="B135" s="40" t="s">
        <v>60</v>
      </c>
      <c r="C135" s="319" t="s">
        <v>427</v>
      </c>
      <c r="D135" s="40" t="s">
        <v>61</v>
      </c>
      <c r="E135" s="298" t="s">
        <v>413</v>
      </c>
    </row>
    <row r="136" spans="1:5" ht="28.5" x14ac:dyDescent="0.2">
      <c r="A136" s="218" t="s">
        <v>428</v>
      </c>
      <c r="B136" s="219">
        <v>12</v>
      </c>
      <c r="C136" s="37">
        <v>5.42</v>
      </c>
      <c r="D136" s="238">
        <f t="shared" ref="D136:D145" si="1">B136*C136</f>
        <v>65.039999999999992</v>
      </c>
      <c r="E136" s="175" t="s">
        <v>843</v>
      </c>
    </row>
    <row r="137" spans="1:5" ht="24.95" customHeight="1" x14ac:dyDescent="0.2">
      <c r="A137" s="218" t="s">
        <v>429</v>
      </c>
      <c r="B137" s="219">
        <v>25</v>
      </c>
      <c r="C137" s="37">
        <v>4.43</v>
      </c>
      <c r="D137" s="238">
        <f t="shared" si="1"/>
        <v>110.75</v>
      </c>
      <c r="E137" s="175" t="s">
        <v>430</v>
      </c>
    </row>
    <row r="138" spans="1:5" ht="30" x14ac:dyDescent="0.2">
      <c r="A138" s="218" t="s">
        <v>521</v>
      </c>
      <c r="B138" s="219">
        <v>20</v>
      </c>
      <c r="C138" s="37">
        <v>4.53</v>
      </c>
      <c r="D138" s="238">
        <f t="shared" si="1"/>
        <v>90.600000000000009</v>
      </c>
      <c r="E138" s="175" t="s">
        <v>360</v>
      </c>
    </row>
    <row r="139" spans="1:5" ht="24.95" customHeight="1" x14ac:dyDescent="0.2">
      <c r="A139" s="218" t="s">
        <v>431</v>
      </c>
      <c r="B139" s="219">
        <v>25</v>
      </c>
      <c r="C139" s="37">
        <v>3.75</v>
      </c>
      <c r="D139" s="238">
        <f t="shared" si="1"/>
        <v>93.75</v>
      </c>
      <c r="E139" s="175" t="s">
        <v>733</v>
      </c>
    </row>
    <row r="140" spans="1:5" ht="28.5" x14ac:dyDescent="0.2">
      <c r="A140" s="218" t="s">
        <v>734</v>
      </c>
      <c r="B140" s="219">
        <v>25</v>
      </c>
      <c r="C140" s="37">
        <v>4.1900000000000004</v>
      </c>
      <c r="D140" s="238">
        <f t="shared" si="1"/>
        <v>104.75000000000001</v>
      </c>
      <c r="E140" s="175" t="s">
        <v>735</v>
      </c>
    </row>
    <row r="141" spans="1:5" ht="30" customHeight="1" x14ac:dyDescent="0.2">
      <c r="A141" s="218" t="s">
        <v>45</v>
      </c>
      <c r="B141" s="219">
        <v>25</v>
      </c>
      <c r="C141" s="37">
        <v>3.15</v>
      </c>
      <c r="D141" s="238">
        <f t="shared" si="1"/>
        <v>78.75</v>
      </c>
      <c r="E141" s="175" t="s">
        <v>736</v>
      </c>
    </row>
    <row r="142" spans="1:5" ht="28.5" x14ac:dyDescent="0.2">
      <c r="A142" s="218" t="s">
        <v>46</v>
      </c>
      <c r="B142" s="219">
        <v>20</v>
      </c>
      <c r="C142" s="37">
        <v>2.93</v>
      </c>
      <c r="D142" s="238">
        <f t="shared" si="1"/>
        <v>58.6</v>
      </c>
      <c r="E142" s="175" t="s">
        <v>737</v>
      </c>
    </row>
    <row r="143" spans="1:5" ht="30" customHeight="1" x14ac:dyDescent="0.2">
      <c r="A143" s="218" t="s">
        <v>432</v>
      </c>
      <c r="B143" s="219">
        <v>20</v>
      </c>
      <c r="C143" s="37">
        <v>4.46</v>
      </c>
      <c r="D143" s="238">
        <f t="shared" si="1"/>
        <v>89.2</v>
      </c>
      <c r="E143" s="175" t="s">
        <v>738</v>
      </c>
    </row>
    <row r="144" spans="1:5" ht="28.5" x14ac:dyDescent="0.2">
      <c r="A144" s="218" t="s">
        <v>433</v>
      </c>
      <c r="B144" s="219">
        <v>20</v>
      </c>
      <c r="C144" s="37">
        <v>6.22</v>
      </c>
      <c r="D144" s="238">
        <f t="shared" si="1"/>
        <v>124.39999999999999</v>
      </c>
      <c r="E144" s="175" t="s">
        <v>844</v>
      </c>
    </row>
    <row r="145" spans="1:5" ht="28.5" x14ac:dyDescent="0.2">
      <c r="A145" s="218" t="s">
        <v>739</v>
      </c>
      <c r="B145" s="219">
        <v>23</v>
      </c>
      <c r="C145" s="37">
        <v>3.83</v>
      </c>
      <c r="D145" s="238">
        <f t="shared" si="1"/>
        <v>88.09</v>
      </c>
      <c r="E145" s="175" t="s">
        <v>740</v>
      </c>
    </row>
    <row r="146" spans="1:5" ht="42.75" x14ac:dyDescent="0.2">
      <c r="A146" s="218" t="s">
        <v>80</v>
      </c>
      <c r="B146" s="219">
        <v>30</v>
      </c>
      <c r="C146" s="37">
        <v>6.34</v>
      </c>
      <c r="D146" s="238">
        <v>190.2</v>
      </c>
      <c r="E146" s="175" t="s">
        <v>845</v>
      </c>
    </row>
    <row r="147" spans="1:5" ht="28.5" x14ac:dyDescent="0.2">
      <c r="A147" s="218" t="s">
        <v>81</v>
      </c>
      <c r="B147" s="219">
        <v>30</v>
      </c>
      <c r="C147" s="37">
        <v>5.3</v>
      </c>
      <c r="D147" s="238">
        <f>B147*C147</f>
        <v>159</v>
      </c>
      <c r="E147" s="175" t="s">
        <v>741</v>
      </c>
    </row>
    <row r="148" spans="1:5" ht="28.5" x14ac:dyDescent="0.2">
      <c r="A148" s="218" t="s">
        <v>742</v>
      </c>
      <c r="B148" s="219">
        <v>30</v>
      </c>
      <c r="C148" s="37">
        <v>7.46</v>
      </c>
      <c r="D148" s="238">
        <f>B148*C148</f>
        <v>223.8</v>
      </c>
      <c r="E148" s="175" t="s">
        <v>743</v>
      </c>
    </row>
    <row r="149" spans="1:5" ht="28.5" x14ac:dyDescent="0.2">
      <c r="A149" s="218" t="s">
        <v>744</v>
      </c>
      <c r="B149" s="219">
        <v>100</v>
      </c>
      <c r="C149" s="37">
        <v>2.21</v>
      </c>
      <c r="D149" s="238">
        <f>100*C149</f>
        <v>221</v>
      </c>
      <c r="E149" s="175" t="s">
        <v>745</v>
      </c>
    </row>
    <row r="150" spans="1:5" ht="30" customHeight="1" x14ac:dyDescent="0.2">
      <c r="A150" s="218" t="s">
        <v>434</v>
      </c>
      <c r="B150" s="219">
        <v>100</v>
      </c>
      <c r="C150" s="37">
        <v>2.83</v>
      </c>
      <c r="D150" s="238">
        <f>100*C150</f>
        <v>283</v>
      </c>
      <c r="E150" s="175" t="s">
        <v>746</v>
      </c>
    </row>
    <row r="151" spans="1:5" ht="30" customHeight="1" x14ac:dyDescent="0.2">
      <c r="A151" s="218" t="s">
        <v>82</v>
      </c>
      <c r="B151" s="219">
        <v>20</v>
      </c>
      <c r="C151" s="37">
        <v>9.11</v>
      </c>
      <c r="D151" s="238">
        <f t="shared" ref="D151:D156" si="2">B151*C151</f>
        <v>182.2</v>
      </c>
      <c r="E151" s="175" t="s">
        <v>747</v>
      </c>
    </row>
    <row r="152" spans="1:5" ht="28.5" x14ac:dyDescent="0.2">
      <c r="A152" s="218" t="s">
        <v>83</v>
      </c>
      <c r="B152" s="219">
        <v>20</v>
      </c>
      <c r="C152" s="37">
        <v>8.09</v>
      </c>
      <c r="D152" s="238">
        <f t="shared" si="2"/>
        <v>161.80000000000001</v>
      </c>
      <c r="E152" s="175" t="s">
        <v>748</v>
      </c>
    </row>
    <row r="153" spans="1:5" ht="57" x14ac:dyDescent="0.2">
      <c r="A153" s="218" t="s">
        <v>84</v>
      </c>
      <c r="B153" s="219">
        <v>30</v>
      </c>
      <c r="C153" s="37">
        <v>8.8000000000000007</v>
      </c>
      <c r="D153" s="238">
        <f t="shared" si="2"/>
        <v>264</v>
      </c>
      <c r="E153" s="175" t="s">
        <v>749</v>
      </c>
    </row>
    <row r="154" spans="1:5" ht="71.25" x14ac:dyDescent="0.2">
      <c r="A154" s="218" t="s">
        <v>361</v>
      </c>
      <c r="B154" s="219">
        <v>20</v>
      </c>
      <c r="C154" s="37">
        <v>5.89</v>
      </c>
      <c r="D154" s="238">
        <f t="shared" si="2"/>
        <v>117.8</v>
      </c>
      <c r="E154" s="175" t="s">
        <v>846</v>
      </c>
    </row>
    <row r="155" spans="1:5" ht="30" customHeight="1" x14ac:dyDescent="0.2">
      <c r="A155" s="218" t="s">
        <v>85</v>
      </c>
      <c r="B155" s="219">
        <v>10</v>
      </c>
      <c r="C155" s="37">
        <v>9.1199999999999992</v>
      </c>
      <c r="D155" s="238">
        <f t="shared" si="2"/>
        <v>91.199999999999989</v>
      </c>
      <c r="E155" s="175" t="s">
        <v>750</v>
      </c>
    </row>
    <row r="156" spans="1:5" ht="30" customHeight="1" x14ac:dyDescent="0.2">
      <c r="A156" s="218" t="s">
        <v>86</v>
      </c>
      <c r="B156" s="219">
        <v>10</v>
      </c>
      <c r="C156" s="37">
        <v>4.0999999999999996</v>
      </c>
      <c r="D156" s="238">
        <f t="shared" si="2"/>
        <v>41</v>
      </c>
      <c r="E156" s="175" t="s">
        <v>751</v>
      </c>
    </row>
    <row r="157" spans="1:5" ht="30" customHeight="1" x14ac:dyDescent="0.2">
      <c r="A157" s="218" t="s">
        <v>435</v>
      </c>
      <c r="B157" s="219">
        <v>10</v>
      </c>
      <c r="C157" s="37">
        <v>3.63</v>
      </c>
      <c r="D157" s="238">
        <v>36.299999999999997</v>
      </c>
      <c r="E157" s="175" t="s">
        <v>847</v>
      </c>
    </row>
    <row r="158" spans="1:5" ht="24.95" customHeight="1" x14ac:dyDescent="0.2">
      <c r="A158" s="218" t="s">
        <v>436</v>
      </c>
      <c r="B158" s="219">
        <v>110</v>
      </c>
      <c r="C158" s="37">
        <v>2.4500000000000002</v>
      </c>
      <c r="D158" s="238">
        <f>B158*C158</f>
        <v>269.5</v>
      </c>
      <c r="E158" s="175" t="s">
        <v>752</v>
      </c>
    </row>
    <row r="159" spans="1:5" ht="24.95" customHeight="1" x14ac:dyDescent="0.2">
      <c r="A159" s="218" t="s">
        <v>437</v>
      </c>
      <c r="B159" s="219">
        <v>110</v>
      </c>
      <c r="C159" s="37">
        <v>2.88</v>
      </c>
      <c r="D159" s="238">
        <f>B159*C159</f>
        <v>316.8</v>
      </c>
      <c r="E159" s="175" t="s">
        <v>753</v>
      </c>
    </row>
    <row r="160" spans="1:5" ht="24.95" customHeight="1" x14ac:dyDescent="0.2">
      <c r="A160" s="218" t="s">
        <v>438</v>
      </c>
      <c r="B160" s="219">
        <v>130</v>
      </c>
      <c r="C160" s="37">
        <v>2.85</v>
      </c>
      <c r="D160" s="238">
        <f>B160*C160</f>
        <v>370.5</v>
      </c>
      <c r="E160" s="175" t="s">
        <v>754</v>
      </c>
    </row>
    <row r="161" spans="1:5" ht="24.95" customHeight="1" x14ac:dyDescent="0.2">
      <c r="A161" s="218" t="s">
        <v>439</v>
      </c>
      <c r="B161" s="219">
        <v>130</v>
      </c>
      <c r="C161" s="37">
        <v>3.08</v>
      </c>
      <c r="D161" s="238">
        <f>B161*C161</f>
        <v>400.40000000000003</v>
      </c>
      <c r="E161" s="175" t="s">
        <v>755</v>
      </c>
    </row>
    <row r="162" spans="1:5" ht="30" customHeight="1" x14ac:dyDescent="0.2">
      <c r="A162" s="218" t="s">
        <v>51</v>
      </c>
      <c r="B162" s="219">
        <v>25</v>
      </c>
      <c r="C162" s="37">
        <v>5.49</v>
      </c>
      <c r="D162" s="238">
        <f>B162*C162</f>
        <v>137.25</v>
      </c>
      <c r="E162" s="175" t="s">
        <v>848</v>
      </c>
    </row>
    <row r="163" spans="1:5" ht="24.95" customHeight="1" x14ac:dyDescent="0.2">
      <c r="A163" s="218" t="s">
        <v>57</v>
      </c>
      <c r="B163" s="219">
        <v>60</v>
      </c>
      <c r="C163" s="37">
        <v>3.77</v>
      </c>
      <c r="D163" s="238">
        <f>C163*B163</f>
        <v>226.2</v>
      </c>
      <c r="E163" s="640" t="s">
        <v>756</v>
      </c>
    </row>
    <row r="164" spans="1:5" ht="24.95" customHeight="1" x14ac:dyDescent="0.2">
      <c r="A164" s="218" t="s">
        <v>440</v>
      </c>
      <c r="B164" s="219">
        <v>60</v>
      </c>
      <c r="C164" s="37">
        <v>4.2</v>
      </c>
      <c r="D164" s="238">
        <f>C164*B164</f>
        <v>252</v>
      </c>
      <c r="E164" s="641"/>
    </row>
    <row r="165" spans="1:5" ht="42.75" x14ac:dyDescent="0.2">
      <c r="A165" s="38" t="s">
        <v>757</v>
      </c>
      <c r="B165" s="219">
        <v>7</v>
      </c>
      <c r="C165" s="37">
        <v>12.26</v>
      </c>
      <c r="D165" s="238">
        <f>C165*B165</f>
        <v>85.82</v>
      </c>
      <c r="E165" s="310" t="s">
        <v>758</v>
      </c>
    </row>
    <row r="166" spans="1:5" ht="42.75" x14ac:dyDescent="0.2">
      <c r="A166" s="38" t="s">
        <v>759</v>
      </c>
      <c r="B166" s="219">
        <v>7</v>
      </c>
      <c r="C166" s="37">
        <v>77.83</v>
      </c>
      <c r="D166" s="238">
        <f>C166*B166</f>
        <v>544.80999999999995</v>
      </c>
      <c r="E166" s="310" t="s">
        <v>760</v>
      </c>
    </row>
    <row r="167" spans="1:5" ht="24.95" customHeight="1" x14ac:dyDescent="0.2">
      <c r="A167" s="38" t="s">
        <v>522</v>
      </c>
      <c r="B167" s="219">
        <v>1</v>
      </c>
      <c r="C167" s="37">
        <v>34.85</v>
      </c>
      <c r="D167" s="238">
        <f>C167*B167</f>
        <v>34.85</v>
      </c>
      <c r="E167" s="310" t="s">
        <v>761</v>
      </c>
    </row>
    <row r="168" spans="1:5" ht="28.5" x14ac:dyDescent="0.2">
      <c r="A168" s="38" t="s">
        <v>87</v>
      </c>
      <c r="B168" s="219">
        <v>40</v>
      </c>
      <c r="C168" s="37">
        <v>8.76</v>
      </c>
      <c r="D168" s="238">
        <f>B168*C168</f>
        <v>350.4</v>
      </c>
      <c r="E168" s="310" t="s">
        <v>762</v>
      </c>
    </row>
    <row r="169" spans="1:5" ht="28.5" x14ac:dyDescent="0.2">
      <c r="A169" s="38" t="s">
        <v>88</v>
      </c>
      <c r="B169" s="219">
        <v>40</v>
      </c>
      <c r="C169" s="37">
        <v>8.6199999999999992</v>
      </c>
      <c r="D169" s="238">
        <f>B169*C169</f>
        <v>344.79999999999995</v>
      </c>
      <c r="E169" s="310" t="s">
        <v>763</v>
      </c>
    </row>
    <row r="170" spans="1:5" ht="24.95" customHeight="1" x14ac:dyDescent="0.2">
      <c r="A170" s="38" t="s">
        <v>362</v>
      </c>
      <c r="B170" s="219">
        <v>20</v>
      </c>
      <c r="C170" s="37">
        <v>72</v>
      </c>
      <c r="D170" s="238">
        <f>B170*C170</f>
        <v>1440</v>
      </c>
      <c r="E170" s="310" t="s">
        <v>764</v>
      </c>
    </row>
    <row r="171" spans="1:5" ht="24.95" customHeight="1" x14ac:dyDescent="0.2">
      <c r="A171" s="38" t="s">
        <v>363</v>
      </c>
      <c r="B171" s="219">
        <v>20</v>
      </c>
      <c r="C171" s="37">
        <v>69</v>
      </c>
      <c r="D171" s="238">
        <f>B171*C171</f>
        <v>1380</v>
      </c>
      <c r="E171" s="310" t="s">
        <v>764</v>
      </c>
    </row>
    <row r="172" spans="1:5" ht="15" customHeight="1" x14ac:dyDescent="0.2">
      <c r="A172" s="626" t="s">
        <v>765</v>
      </c>
      <c r="B172" s="627"/>
      <c r="C172" s="627"/>
      <c r="D172" s="627"/>
      <c r="E172" s="628"/>
    </row>
    <row r="173" spans="1:5" ht="36" customHeight="1" x14ac:dyDescent="0.2"/>
    <row r="174" spans="1:5" ht="36" customHeight="1" x14ac:dyDescent="0.2">
      <c r="A174" s="297" t="s">
        <v>89</v>
      </c>
      <c r="B174" s="39" t="s">
        <v>60</v>
      </c>
      <c r="C174" s="299" t="s">
        <v>348</v>
      </c>
      <c r="D174" s="236" t="s">
        <v>61</v>
      </c>
      <c r="E174" s="36" t="s">
        <v>413</v>
      </c>
    </row>
    <row r="175" spans="1:5" ht="24.95" customHeight="1" x14ac:dyDescent="0.2">
      <c r="A175" s="38" t="s">
        <v>364</v>
      </c>
      <c r="B175" s="320" t="s">
        <v>441</v>
      </c>
      <c r="C175" s="239">
        <f>53*1.13/10</f>
        <v>5.988999999999999</v>
      </c>
      <c r="D175" s="37" t="s">
        <v>766</v>
      </c>
      <c r="E175" s="176" t="s">
        <v>767</v>
      </c>
    </row>
    <row r="176" spans="1:5" ht="24.95" customHeight="1" x14ac:dyDescent="0.2">
      <c r="A176" s="38" t="s">
        <v>47</v>
      </c>
      <c r="B176" s="320" t="s">
        <v>73</v>
      </c>
      <c r="C176" s="239">
        <f>74.4*1.13/10</f>
        <v>8.4071999999999996</v>
      </c>
      <c r="D176" s="37" t="s">
        <v>768</v>
      </c>
      <c r="E176" s="43" t="s">
        <v>769</v>
      </c>
    </row>
    <row r="177" spans="1:5" ht="28.5" x14ac:dyDescent="0.2">
      <c r="A177" s="38" t="s">
        <v>365</v>
      </c>
      <c r="B177" s="222">
        <v>30</v>
      </c>
      <c r="C177" s="239">
        <f>53.7/15*1.13</f>
        <v>4.0453999999999999</v>
      </c>
      <c r="D177" s="37">
        <f>B177*C177</f>
        <v>121.36199999999999</v>
      </c>
      <c r="E177" s="43" t="s">
        <v>770</v>
      </c>
    </row>
    <row r="178" spans="1:5" ht="24.95" customHeight="1" x14ac:dyDescent="0.2">
      <c r="A178" s="38" t="s">
        <v>50</v>
      </c>
      <c r="B178" s="222">
        <v>70</v>
      </c>
      <c r="C178" s="239">
        <f>3.76*1.13</f>
        <v>4.2487999999999992</v>
      </c>
      <c r="D178" s="37">
        <f>B178*C178</f>
        <v>297.41599999999994</v>
      </c>
      <c r="E178" s="43" t="s">
        <v>771</v>
      </c>
    </row>
    <row r="179" spans="1:5" ht="28.5" x14ac:dyDescent="0.2">
      <c r="A179" s="38" t="s">
        <v>447</v>
      </c>
      <c r="B179" s="222">
        <v>20</v>
      </c>
      <c r="C179" s="239">
        <f>82.29/20*1.1</f>
        <v>4.5259500000000008</v>
      </c>
      <c r="D179" s="37">
        <f>B179*C179</f>
        <v>90.51900000000002</v>
      </c>
      <c r="E179" s="43" t="s">
        <v>772</v>
      </c>
    </row>
    <row r="180" spans="1:5" ht="30" x14ac:dyDescent="0.2">
      <c r="A180" s="38" t="s">
        <v>849</v>
      </c>
      <c r="B180" s="320" t="s">
        <v>79</v>
      </c>
      <c r="C180" s="239">
        <f>3.85*1.13</f>
        <v>4.3504999999999994</v>
      </c>
      <c r="D180" s="37" t="s">
        <v>773</v>
      </c>
      <c r="E180" s="43" t="s">
        <v>774</v>
      </c>
    </row>
    <row r="181" spans="1:5" ht="28.5" x14ac:dyDescent="0.2">
      <c r="A181" s="38" t="s">
        <v>442</v>
      </c>
      <c r="B181" s="320" t="s">
        <v>443</v>
      </c>
      <c r="C181" s="239">
        <f>5.94*1.13</f>
        <v>6.7122000000000002</v>
      </c>
      <c r="D181" s="37" t="s">
        <v>775</v>
      </c>
      <c r="E181" s="43" t="s">
        <v>776</v>
      </c>
    </row>
    <row r="182" spans="1:5" ht="28.5" x14ac:dyDescent="0.2">
      <c r="A182" s="38" t="s">
        <v>53</v>
      </c>
      <c r="B182" s="320" t="s">
        <v>90</v>
      </c>
      <c r="C182" s="239">
        <f>3.2*1.13</f>
        <v>3.6159999999999997</v>
      </c>
      <c r="D182" s="37" t="s">
        <v>777</v>
      </c>
      <c r="E182" s="43" t="s">
        <v>778</v>
      </c>
    </row>
    <row r="183" spans="1:5" ht="24.95" customHeight="1" x14ac:dyDescent="0.2">
      <c r="A183" s="38" t="s">
        <v>54</v>
      </c>
      <c r="B183" s="222">
        <v>60</v>
      </c>
      <c r="C183" s="239">
        <f>4.7*1.13</f>
        <v>5.3109999999999999</v>
      </c>
      <c r="D183" s="37">
        <f>B183*C183</f>
        <v>318.65999999999997</v>
      </c>
      <c r="E183" s="43" t="s">
        <v>779</v>
      </c>
    </row>
    <row r="184" spans="1:5" ht="28.5" x14ac:dyDescent="0.2">
      <c r="A184" s="38" t="s">
        <v>55</v>
      </c>
      <c r="B184" s="222">
        <v>100</v>
      </c>
      <c r="C184" s="239">
        <f>51.47*1.1/25</f>
        <v>2.2646800000000002</v>
      </c>
      <c r="D184" s="37">
        <f>B184*C184</f>
        <v>226.46800000000002</v>
      </c>
      <c r="E184" s="43" t="s">
        <v>780</v>
      </c>
    </row>
    <row r="185" spans="1:5" ht="28.5" x14ac:dyDescent="0.2">
      <c r="A185" s="38" t="s">
        <v>367</v>
      </c>
      <c r="B185" s="222">
        <v>60</v>
      </c>
      <c r="C185" s="239">
        <f>50.35*1.1/20</f>
        <v>2.7692500000000004</v>
      </c>
      <c r="D185" s="37">
        <f>B185*C185</f>
        <v>166.15500000000003</v>
      </c>
      <c r="E185" s="43" t="s">
        <v>781</v>
      </c>
    </row>
    <row r="186" spans="1:5" ht="24.95" customHeight="1" x14ac:dyDescent="0.2">
      <c r="A186" s="38" t="s">
        <v>56</v>
      </c>
      <c r="B186" s="320" t="s">
        <v>444</v>
      </c>
      <c r="C186" s="239">
        <f>50*1.1/20</f>
        <v>2.7500000000000004</v>
      </c>
      <c r="D186" s="37" t="s">
        <v>782</v>
      </c>
      <c r="E186" s="176" t="s">
        <v>783</v>
      </c>
    </row>
    <row r="187" spans="1:5" ht="24.95" customHeight="1" x14ac:dyDescent="0.2">
      <c r="A187" s="38" t="s">
        <v>784</v>
      </c>
      <c r="B187" s="222">
        <v>20</v>
      </c>
      <c r="C187" s="239">
        <f>40*1.13/10</f>
        <v>4.5199999999999996</v>
      </c>
      <c r="D187" s="37">
        <f>B187*C187</f>
        <v>90.399999999999991</v>
      </c>
      <c r="E187" s="176" t="s">
        <v>785</v>
      </c>
    </row>
    <row r="188" spans="1:5" ht="28.5" x14ac:dyDescent="0.2">
      <c r="A188" s="38" t="s">
        <v>786</v>
      </c>
      <c r="B188" s="222">
        <v>45</v>
      </c>
      <c r="C188" s="239">
        <f>23.3/1.13/5</f>
        <v>4.1238938053097351</v>
      </c>
      <c r="D188" s="37">
        <f>B188*C188</f>
        <v>185.57522123893807</v>
      </c>
      <c r="E188" s="176" t="s">
        <v>787</v>
      </c>
    </row>
    <row r="189" spans="1:5" ht="24.95" customHeight="1" x14ac:dyDescent="0.2">
      <c r="A189" s="38" t="s">
        <v>445</v>
      </c>
      <c r="B189" s="222">
        <v>20</v>
      </c>
      <c r="C189" s="239">
        <f>289*1.13/5</f>
        <v>65.313999999999993</v>
      </c>
      <c r="D189" s="37">
        <f>B189*C189</f>
        <v>1306.2799999999997</v>
      </c>
      <c r="E189" s="176" t="s">
        <v>788</v>
      </c>
    </row>
    <row r="190" spans="1:5" ht="24.95" customHeight="1" x14ac:dyDescent="0.2">
      <c r="A190" s="38" t="s">
        <v>789</v>
      </c>
      <c r="B190" s="320">
        <v>15</v>
      </c>
      <c r="C190" s="239">
        <f>72*1.13/15</f>
        <v>5.4239999999999986</v>
      </c>
      <c r="D190" s="37">
        <f>B190*C190</f>
        <v>81.359999999999985</v>
      </c>
      <c r="E190" s="43" t="s">
        <v>790</v>
      </c>
    </row>
    <row r="191" spans="1:5" ht="24.95" customHeight="1" x14ac:dyDescent="0.2">
      <c r="A191" s="38" t="s">
        <v>791</v>
      </c>
      <c r="B191" s="320">
        <v>12</v>
      </c>
      <c r="C191" s="239">
        <f>58*1.13/12</f>
        <v>5.461666666666666</v>
      </c>
      <c r="D191" s="37">
        <f>B191*C191</f>
        <v>65.539999999999992</v>
      </c>
      <c r="E191" s="176" t="s">
        <v>792</v>
      </c>
    </row>
    <row r="192" spans="1:5" ht="24.95" customHeight="1" x14ac:dyDescent="0.2">
      <c r="A192" s="38" t="s">
        <v>793</v>
      </c>
      <c r="B192" s="320" t="s">
        <v>77</v>
      </c>
      <c r="C192" s="239">
        <f>67.99*1.1/20</f>
        <v>3.7394500000000002</v>
      </c>
      <c r="D192" s="37" t="s">
        <v>794</v>
      </c>
      <c r="E192" s="43" t="s">
        <v>795</v>
      </c>
    </row>
    <row r="193" spans="1:5" ht="24.95" customHeight="1" x14ac:dyDescent="0.2">
      <c r="A193" s="38" t="s">
        <v>796</v>
      </c>
      <c r="B193" s="222">
        <v>10</v>
      </c>
      <c r="C193" s="239">
        <f>69.8/10*1.1</f>
        <v>7.6779999999999999</v>
      </c>
      <c r="D193" s="37">
        <f>C193*B193</f>
        <v>76.78</v>
      </c>
      <c r="E193" s="43" t="s">
        <v>797</v>
      </c>
    </row>
    <row r="194" spans="1:5" ht="28.5" x14ac:dyDescent="0.2">
      <c r="A194" s="38" t="s">
        <v>798</v>
      </c>
      <c r="B194" s="222">
        <v>15</v>
      </c>
      <c r="C194" s="239">
        <f>63.05/15*1.1</f>
        <v>4.6236666666666668</v>
      </c>
      <c r="D194" s="37">
        <f>C194*B194</f>
        <v>69.355000000000004</v>
      </c>
      <c r="E194" s="43" t="s">
        <v>1086</v>
      </c>
    </row>
    <row r="195" spans="1:5" ht="36" customHeight="1" x14ac:dyDescent="0.2">
      <c r="A195" s="297" t="s">
        <v>524</v>
      </c>
      <c r="B195" s="39" t="s">
        <v>60</v>
      </c>
      <c r="C195" s="299" t="s">
        <v>348</v>
      </c>
      <c r="D195" s="236" t="s">
        <v>61</v>
      </c>
      <c r="E195" s="321" t="s">
        <v>413</v>
      </c>
    </row>
    <row r="196" spans="1:5" ht="28.5" x14ac:dyDescent="0.2">
      <c r="A196" s="38" t="s">
        <v>365</v>
      </c>
      <c r="B196" s="222">
        <v>30</v>
      </c>
      <c r="C196" s="239">
        <f>60.53*1.13/15</f>
        <v>4.5599266666666667</v>
      </c>
      <c r="D196" s="37">
        <f>B196*C196</f>
        <v>136.7978</v>
      </c>
      <c r="E196" s="322" t="s">
        <v>770</v>
      </c>
    </row>
    <row r="197" spans="1:5" ht="24.95" customHeight="1" x14ac:dyDescent="0.2">
      <c r="A197" s="38" t="s">
        <v>446</v>
      </c>
      <c r="B197" s="320" t="s">
        <v>441</v>
      </c>
      <c r="C197" s="239">
        <f>67.8*1.13/10</f>
        <v>7.6613999999999987</v>
      </c>
      <c r="D197" s="37" t="s">
        <v>799</v>
      </c>
      <c r="E197" s="176" t="s">
        <v>800</v>
      </c>
    </row>
    <row r="198" spans="1:5" ht="28.5" x14ac:dyDescent="0.2">
      <c r="A198" s="38" t="s">
        <v>447</v>
      </c>
      <c r="B198" s="222">
        <v>20</v>
      </c>
      <c r="C198" s="239">
        <f>96.5*1.1/20</f>
        <v>5.3075000000000001</v>
      </c>
      <c r="D198" s="37">
        <f>B198*C198</f>
        <v>106.15</v>
      </c>
      <c r="E198" s="322" t="s">
        <v>772</v>
      </c>
    </row>
    <row r="199" spans="1:5" ht="24.95" customHeight="1" x14ac:dyDescent="0.2">
      <c r="A199" s="38" t="s">
        <v>801</v>
      </c>
      <c r="B199" s="320" t="s">
        <v>79</v>
      </c>
      <c r="C199" s="239">
        <f>46.1*1.13/10</f>
        <v>5.2092999999999998</v>
      </c>
      <c r="D199" s="37" t="s">
        <v>802</v>
      </c>
      <c r="E199" s="43" t="s">
        <v>803</v>
      </c>
    </row>
    <row r="200" spans="1:5" ht="28.5" x14ac:dyDescent="0.2">
      <c r="A200" s="38" t="s">
        <v>366</v>
      </c>
      <c r="B200" s="222">
        <v>20</v>
      </c>
      <c r="C200" s="239">
        <f>73.84*1.1/20</f>
        <v>4.0612000000000004</v>
      </c>
      <c r="D200" s="37">
        <f>B200*C200</f>
        <v>81.224000000000004</v>
      </c>
      <c r="E200" s="176" t="s">
        <v>804</v>
      </c>
    </row>
    <row r="201" spans="1:5" ht="28.5" x14ac:dyDescent="0.2">
      <c r="A201" s="38" t="s">
        <v>367</v>
      </c>
      <c r="B201" s="222">
        <v>60</v>
      </c>
      <c r="C201" s="239">
        <f>54.86*1.1/20</f>
        <v>3.0173000000000001</v>
      </c>
      <c r="D201" s="37">
        <f>B201*C201</f>
        <v>181.03800000000001</v>
      </c>
      <c r="E201" s="322" t="s">
        <v>781</v>
      </c>
    </row>
    <row r="202" spans="1:5" ht="28.5" x14ac:dyDescent="0.2">
      <c r="A202" s="38" t="s">
        <v>368</v>
      </c>
      <c r="B202" s="222">
        <v>100</v>
      </c>
      <c r="C202" s="239">
        <f>48.3*1.1/30</f>
        <v>1.7710000000000001</v>
      </c>
      <c r="D202" s="37">
        <f>B202*C202</f>
        <v>177.10000000000002</v>
      </c>
      <c r="E202" s="322" t="s">
        <v>805</v>
      </c>
    </row>
    <row r="203" spans="1:5" ht="24.95" customHeight="1" x14ac:dyDescent="0.2">
      <c r="A203" s="245" t="s">
        <v>523</v>
      </c>
      <c r="B203" s="246" t="s">
        <v>448</v>
      </c>
      <c r="C203" s="246" t="s">
        <v>449</v>
      </c>
      <c r="D203" s="247" t="s">
        <v>61</v>
      </c>
      <c r="E203" s="248" t="s">
        <v>450</v>
      </c>
    </row>
    <row r="204" spans="1:5" ht="28.5" x14ac:dyDescent="0.2">
      <c r="A204" s="38" t="s">
        <v>806</v>
      </c>
      <c r="B204" s="249" t="s">
        <v>451</v>
      </c>
      <c r="C204" s="239">
        <f>23*1.2</f>
        <v>27.599999999999998</v>
      </c>
      <c r="D204" s="250">
        <v>27.6</v>
      </c>
      <c r="E204" s="176" t="s">
        <v>525</v>
      </c>
    </row>
    <row r="205" spans="1:5" ht="36" customHeight="1" x14ac:dyDescent="0.2"/>
    <row r="206" spans="1:5" ht="36" customHeight="1" x14ac:dyDescent="0.2">
      <c r="A206" s="293" t="s">
        <v>381</v>
      </c>
      <c r="B206" s="40" t="s">
        <v>60</v>
      </c>
      <c r="C206" s="177" t="s">
        <v>348</v>
      </c>
      <c r="D206" s="178" t="s">
        <v>61</v>
      </c>
      <c r="E206" s="40" t="s">
        <v>526</v>
      </c>
    </row>
    <row r="207" spans="1:5" ht="87" x14ac:dyDescent="0.2">
      <c r="A207" s="221" t="s">
        <v>452</v>
      </c>
      <c r="B207" s="222">
        <v>20</v>
      </c>
      <c r="C207" s="251">
        <v>43</v>
      </c>
      <c r="D207" s="252">
        <v>860</v>
      </c>
      <c r="E207" s="43" t="s">
        <v>527</v>
      </c>
    </row>
    <row r="208" spans="1:5" ht="144" x14ac:dyDescent="0.2">
      <c r="A208" s="221" t="s">
        <v>453</v>
      </c>
      <c r="B208" s="222">
        <v>20</v>
      </c>
      <c r="C208" s="251">
        <v>59</v>
      </c>
      <c r="D208" s="252">
        <v>1180</v>
      </c>
      <c r="E208" s="43" t="s">
        <v>528</v>
      </c>
    </row>
    <row r="209" spans="1:5" ht="129.75" x14ac:dyDescent="0.2">
      <c r="A209" s="221" t="s">
        <v>454</v>
      </c>
      <c r="B209" s="222">
        <v>20</v>
      </c>
      <c r="C209" s="251">
        <v>69</v>
      </c>
      <c r="D209" s="252">
        <v>1380</v>
      </c>
      <c r="E209" s="43" t="s">
        <v>529</v>
      </c>
    </row>
    <row r="211" spans="1:5" x14ac:dyDescent="0.2">
      <c r="A211" s="629" t="s">
        <v>455</v>
      </c>
      <c r="B211" s="629"/>
      <c r="C211" s="629"/>
      <c r="D211" s="629"/>
      <c r="E211" s="629"/>
    </row>
    <row r="212" spans="1:5" ht="15.75" x14ac:dyDescent="0.25">
      <c r="A212" s="33" t="s">
        <v>850</v>
      </c>
      <c r="B212" s="41"/>
      <c r="C212" s="33"/>
      <c r="D212" s="323"/>
      <c r="E212" s="33"/>
    </row>
    <row r="213" spans="1:5" ht="15" x14ac:dyDescent="0.2">
      <c r="A213" s="33" t="s">
        <v>807</v>
      </c>
      <c r="B213" s="41"/>
      <c r="C213" s="33"/>
      <c r="D213" s="323"/>
      <c r="E213" s="33"/>
    </row>
    <row r="214" spans="1:5" x14ac:dyDescent="0.2">
      <c r="A214" s="630" t="s">
        <v>808</v>
      </c>
      <c r="B214" s="630"/>
      <c r="C214" s="630"/>
      <c r="D214" s="630"/>
      <c r="E214" s="630"/>
    </row>
    <row r="215" spans="1:5" ht="15.75" x14ac:dyDescent="0.25">
      <c r="A215" s="34" t="s">
        <v>851</v>
      </c>
      <c r="B215" s="41"/>
      <c r="C215" s="324"/>
      <c r="D215" s="325"/>
      <c r="E215" s="33"/>
    </row>
  </sheetData>
  <sheetProtection algorithmName="SHA-512" hashValue="IVLWlVg9CIHs2LES7HEaBkfWg78B6T9zf2I+Z/kC16YwwSvllspD6N7uFRdhVHTuZDrj9p0ZWDhIsGMUybCRyA==" saltValue="Z64wgnh/XUlyc5Bpu1GsPg==" spinCount="100000" sheet="1" objects="1" scenarios="1"/>
  <mergeCells count="40">
    <mergeCell ref="E34:E35"/>
    <mergeCell ref="C1:D1"/>
    <mergeCell ref="C2:D2"/>
    <mergeCell ref="E8:E9"/>
    <mergeCell ref="E10:E11"/>
    <mergeCell ref="E13:E16"/>
    <mergeCell ref="E17:E18"/>
    <mergeCell ref="E19:E20"/>
    <mergeCell ref="E21:E22"/>
    <mergeCell ref="E23:E24"/>
    <mergeCell ref="E29:E30"/>
    <mergeCell ref="E32:E33"/>
    <mergeCell ref="E63:E64"/>
    <mergeCell ref="E36:E37"/>
    <mergeCell ref="E40:E41"/>
    <mergeCell ref="E42:E43"/>
    <mergeCell ref="E44:E45"/>
    <mergeCell ref="E46:E47"/>
    <mergeCell ref="E49:E50"/>
    <mergeCell ref="E52:E53"/>
    <mergeCell ref="E54:E55"/>
    <mergeCell ref="E56:E57"/>
    <mergeCell ref="E59:E60"/>
    <mergeCell ref="E61:E62"/>
    <mergeCell ref="A172:E172"/>
    <mergeCell ref="A211:E211"/>
    <mergeCell ref="A214:E214"/>
    <mergeCell ref="F6:J7"/>
    <mergeCell ref="A89:E89"/>
    <mergeCell ref="A94:E94"/>
    <mergeCell ref="A114:E114"/>
    <mergeCell ref="A115:E115"/>
    <mergeCell ref="A133:E133"/>
    <mergeCell ref="E163:E164"/>
    <mergeCell ref="E69:E70"/>
    <mergeCell ref="E75:E76"/>
    <mergeCell ref="E77:E78"/>
    <mergeCell ref="E79:E80"/>
    <mergeCell ref="E81:E82"/>
    <mergeCell ref="E85:E86"/>
  </mergeCells>
  <hyperlinks>
    <hyperlink ref="F6:J7" location="Anleitung!A1" display="◄ ZURÜCK ZUR STARTSEITE / BEDIENUNGSANLEITUNG" xr:uid="{7A604777-600D-47E6-9247-9D9427901D4F}"/>
  </hyperlinks>
  <pageMargins left="0.7" right="0.7" top="0.78740157499999996" bottom="0.78740157499999996" header="0.3" footer="0.3"/>
  <pageSetup paperSize="9" scale="38"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L77"/>
  <sheetViews>
    <sheetView topLeftCell="A40" zoomScale="84" zoomScaleNormal="84" workbookViewId="0">
      <selection activeCell="B67" sqref="B67"/>
    </sheetView>
  </sheetViews>
  <sheetFormatPr baseColWidth="10" defaultColWidth="10.125" defaultRowHeight="12.75" x14ac:dyDescent="0.2"/>
  <cols>
    <col min="1" max="1" width="23.875" style="81" customWidth="1"/>
    <col min="2" max="2" width="13.375" style="81" customWidth="1"/>
    <col min="3" max="3" width="10.75" style="81" customWidth="1"/>
    <col min="4" max="4" width="10.375" style="81" customWidth="1"/>
    <col min="5" max="5" width="10.5" style="81" customWidth="1"/>
    <col min="6" max="6" width="18.875" style="115" customWidth="1"/>
    <col min="7" max="7" width="71.125" style="115" customWidth="1"/>
    <col min="8" max="9" width="10.125" style="81"/>
    <col min="10" max="10" width="6" style="81" customWidth="1"/>
    <col min="11" max="11" width="10.125" style="81"/>
    <col min="12" max="12" width="1.75" style="81" customWidth="1"/>
    <col min="13" max="16384" width="10.125" style="81"/>
  </cols>
  <sheetData>
    <row r="1" spans="1:12" s="70" customFormat="1" ht="28.5" thickBot="1" x14ac:dyDescent="0.4">
      <c r="A1" s="649" t="s">
        <v>113</v>
      </c>
      <c r="B1" s="649"/>
      <c r="C1" s="649"/>
      <c r="D1" s="649"/>
      <c r="E1" s="649"/>
      <c r="F1" s="649"/>
      <c r="G1" s="649"/>
    </row>
    <row r="2" spans="1:12" s="74" customFormat="1" ht="47.25" x14ac:dyDescent="0.2">
      <c r="A2" s="71" t="s">
        <v>114</v>
      </c>
      <c r="B2" s="72" t="s">
        <v>115</v>
      </c>
      <c r="C2" s="36" t="s">
        <v>116</v>
      </c>
      <c r="D2" s="36" t="s">
        <v>117</v>
      </c>
      <c r="E2" s="36" t="s">
        <v>118</v>
      </c>
      <c r="F2" s="73" t="s">
        <v>119</v>
      </c>
      <c r="G2" s="73" t="s">
        <v>62</v>
      </c>
      <c r="H2" s="631" t="s">
        <v>311</v>
      </c>
      <c r="I2" s="632"/>
      <c r="J2" s="632"/>
      <c r="K2" s="632"/>
      <c r="L2" s="633"/>
    </row>
    <row r="3" spans="1:12" ht="17.25" customHeight="1" thickBot="1" x14ac:dyDescent="0.25">
      <c r="A3" s="75" t="s">
        <v>120</v>
      </c>
      <c r="B3" s="76"/>
      <c r="C3" s="77"/>
      <c r="D3" s="77"/>
      <c r="E3" s="78"/>
      <c r="F3" s="79"/>
      <c r="G3" s="80"/>
      <c r="H3" s="634"/>
      <c r="I3" s="635"/>
      <c r="J3" s="635"/>
      <c r="K3" s="635"/>
      <c r="L3" s="636"/>
    </row>
    <row r="4" spans="1:12" ht="17.25" customHeight="1" x14ac:dyDescent="0.2">
      <c r="A4" s="82" t="s">
        <v>121</v>
      </c>
      <c r="B4" s="82" t="s">
        <v>122</v>
      </c>
      <c r="C4" s="83" t="s">
        <v>123</v>
      </c>
      <c r="D4" s="83" t="s">
        <v>124</v>
      </c>
      <c r="E4" s="84" t="s">
        <v>125</v>
      </c>
      <c r="F4" s="42" t="s">
        <v>126</v>
      </c>
      <c r="G4" s="43" t="s">
        <v>127</v>
      </c>
    </row>
    <row r="5" spans="1:12" ht="17.25" customHeight="1" x14ac:dyDescent="0.2">
      <c r="A5" s="82" t="s">
        <v>41</v>
      </c>
      <c r="B5" s="82" t="s">
        <v>128</v>
      </c>
      <c r="C5" s="83" t="s">
        <v>129</v>
      </c>
      <c r="D5" s="83" t="s">
        <v>124</v>
      </c>
      <c r="E5" s="85" t="s">
        <v>125</v>
      </c>
      <c r="F5" s="42" t="s">
        <v>130</v>
      </c>
      <c r="G5" s="43" t="s">
        <v>131</v>
      </c>
    </row>
    <row r="6" spans="1:12" ht="17.25" customHeight="1" x14ac:dyDescent="0.25">
      <c r="A6" s="86" t="s">
        <v>132</v>
      </c>
      <c r="B6" s="87"/>
      <c r="C6" s="88"/>
      <c r="D6" s="88"/>
      <c r="E6" s="89"/>
      <c r="F6" s="90"/>
      <c r="G6" s="91" t="s">
        <v>133</v>
      </c>
    </row>
    <row r="7" spans="1:12" ht="17.25" customHeight="1" x14ac:dyDescent="0.2">
      <c r="A7" s="82" t="s">
        <v>134</v>
      </c>
      <c r="B7" s="82" t="s">
        <v>122</v>
      </c>
      <c r="C7" s="83" t="s">
        <v>129</v>
      </c>
      <c r="D7" s="83" t="s">
        <v>135</v>
      </c>
      <c r="E7" s="84" t="s">
        <v>136</v>
      </c>
      <c r="F7" s="648" t="s">
        <v>137</v>
      </c>
      <c r="G7" s="43" t="s">
        <v>138</v>
      </c>
    </row>
    <row r="8" spans="1:12" ht="17.25" customHeight="1" x14ac:dyDescent="0.2">
      <c r="A8" s="82" t="s">
        <v>39</v>
      </c>
      <c r="B8" s="82" t="s">
        <v>139</v>
      </c>
      <c r="C8" s="83" t="s">
        <v>140</v>
      </c>
      <c r="D8" s="83" t="s">
        <v>141</v>
      </c>
      <c r="E8" s="84" t="s">
        <v>142</v>
      </c>
      <c r="F8" s="648"/>
      <c r="G8" s="43" t="s">
        <v>143</v>
      </c>
    </row>
    <row r="9" spans="1:12" ht="17.25" customHeight="1" x14ac:dyDescent="0.2">
      <c r="A9" s="82" t="s">
        <v>31</v>
      </c>
      <c r="B9" s="82" t="s">
        <v>144</v>
      </c>
      <c r="C9" s="83" t="s">
        <v>140</v>
      </c>
      <c r="D9" s="83" t="s">
        <v>135</v>
      </c>
      <c r="E9" s="84" t="s">
        <v>100</v>
      </c>
      <c r="F9" s="42" t="s">
        <v>126</v>
      </c>
      <c r="G9" s="43" t="s">
        <v>145</v>
      </c>
    </row>
    <row r="10" spans="1:12" ht="17.25" customHeight="1" x14ac:dyDescent="0.2">
      <c r="A10" s="82" t="s">
        <v>21</v>
      </c>
      <c r="B10" s="82" t="s">
        <v>144</v>
      </c>
      <c r="C10" s="83" t="s">
        <v>140</v>
      </c>
      <c r="D10" s="83" t="s">
        <v>135</v>
      </c>
      <c r="E10" s="84" t="s">
        <v>48</v>
      </c>
      <c r="F10" s="42" t="s">
        <v>126</v>
      </c>
      <c r="G10" s="43" t="s">
        <v>146</v>
      </c>
    </row>
    <row r="11" spans="1:12" ht="17.25" customHeight="1" x14ac:dyDescent="0.2">
      <c r="A11" s="82" t="s">
        <v>16</v>
      </c>
      <c r="B11" s="82" t="s">
        <v>122</v>
      </c>
      <c r="C11" s="83" t="s">
        <v>140</v>
      </c>
      <c r="D11" s="83" t="s">
        <v>141</v>
      </c>
      <c r="E11" s="84" t="s">
        <v>147</v>
      </c>
      <c r="F11" s="42" t="s">
        <v>148</v>
      </c>
      <c r="G11" s="43" t="s">
        <v>149</v>
      </c>
    </row>
    <row r="12" spans="1:12" ht="17.25" customHeight="1" x14ac:dyDescent="0.2">
      <c r="A12" s="82" t="s">
        <v>71</v>
      </c>
      <c r="B12" s="82" t="s">
        <v>144</v>
      </c>
      <c r="C12" s="83" t="s">
        <v>140</v>
      </c>
      <c r="D12" s="83" t="s">
        <v>150</v>
      </c>
      <c r="E12" s="84" t="s">
        <v>151</v>
      </c>
      <c r="F12" s="648" t="s">
        <v>152</v>
      </c>
      <c r="G12" s="43" t="s">
        <v>153</v>
      </c>
    </row>
    <row r="13" spans="1:12" ht="17.25" customHeight="1" x14ac:dyDescent="0.2">
      <c r="A13" s="82" t="s">
        <v>154</v>
      </c>
      <c r="B13" s="82" t="s">
        <v>144</v>
      </c>
      <c r="C13" s="83" t="s">
        <v>140</v>
      </c>
      <c r="D13" s="83" t="s">
        <v>150</v>
      </c>
      <c r="E13" s="84" t="s">
        <v>100</v>
      </c>
      <c r="F13" s="648"/>
      <c r="G13" s="43" t="s">
        <v>155</v>
      </c>
    </row>
    <row r="14" spans="1:12" ht="17.25" customHeight="1" x14ac:dyDescent="0.2">
      <c r="A14" s="82" t="s">
        <v>34</v>
      </c>
      <c r="B14" s="82" t="s">
        <v>144</v>
      </c>
      <c r="C14" s="83" t="s">
        <v>140</v>
      </c>
      <c r="D14" s="83" t="s">
        <v>141</v>
      </c>
      <c r="E14" s="84" t="s">
        <v>156</v>
      </c>
      <c r="F14" s="648" t="s">
        <v>148</v>
      </c>
      <c r="G14" s="43" t="s">
        <v>157</v>
      </c>
    </row>
    <row r="15" spans="1:12" ht="17.25" customHeight="1" x14ac:dyDescent="0.2">
      <c r="A15" s="76" t="s">
        <v>158</v>
      </c>
      <c r="B15" s="76" t="s">
        <v>159</v>
      </c>
      <c r="C15" s="77" t="s">
        <v>140</v>
      </c>
      <c r="D15" s="77" t="s">
        <v>150</v>
      </c>
      <c r="E15" s="78" t="s">
        <v>147</v>
      </c>
      <c r="F15" s="650"/>
      <c r="G15" s="92" t="s">
        <v>160</v>
      </c>
    </row>
    <row r="16" spans="1:12" ht="17.25" customHeight="1" x14ac:dyDescent="0.25">
      <c r="A16" s="86" t="s">
        <v>162</v>
      </c>
      <c r="B16" s="93"/>
      <c r="C16" s="94"/>
      <c r="D16" s="94"/>
      <c r="E16" s="95"/>
      <c r="F16" s="58"/>
      <c r="G16" s="96"/>
    </row>
    <row r="17" spans="1:7" ht="17.25" customHeight="1" x14ac:dyDescent="0.2">
      <c r="A17" s="97" t="s">
        <v>163</v>
      </c>
      <c r="B17" s="97" t="s">
        <v>164</v>
      </c>
      <c r="C17" s="98" t="s">
        <v>141</v>
      </c>
      <c r="D17" s="98" t="s">
        <v>135</v>
      </c>
      <c r="E17" s="99" t="s">
        <v>52</v>
      </c>
      <c r="F17" s="651" t="s">
        <v>152</v>
      </c>
      <c r="G17" s="100" t="s">
        <v>165</v>
      </c>
    </row>
    <row r="18" spans="1:7" ht="17.25" customHeight="1" x14ac:dyDescent="0.2">
      <c r="A18" s="82" t="s">
        <v>166</v>
      </c>
      <c r="B18" s="82" t="s">
        <v>164</v>
      </c>
      <c r="C18" s="83" t="s">
        <v>129</v>
      </c>
      <c r="D18" s="83" t="s">
        <v>124</v>
      </c>
      <c r="E18" s="84" t="s">
        <v>52</v>
      </c>
      <c r="F18" s="652"/>
      <c r="G18" s="43" t="s">
        <v>167</v>
      </c>
    </row>
    <row r="19" spans="1:7" ht="17.25" customHeight="1" x14ac:dyDescent="0.2">
      <c r="A19" s="82" t="s">
        <v>168</v>
      </c>
      <c r="B19" s="82" t="s">
        <v>139</v>
      </c>
      <c r="C19" s="83" t="s">
        <v>141</v>
      </c>
      <c r="D19" s="83" t="s">
        <v>141</v>
      </c>
      <c r="E19" s="84" t="s">
        <v>169</v>
      </c>
      <c r="F19" s="652"/>
      <c r="G19" s="43" t="s">
        <v>170</v>
      </c>
    </row>
    <row r="20" spans="1:7" ht="17.25" customHeight="1" x14ac:dyDescent="0.2">
      <c r="A20" s="82" t="s">
        <v>171</v>
      </c>
      <c r="B20" s="82" t="s">
        <v>139</v>
      </c>
      <c r="C20" s="83" t="s">
        <v>141</v>
      </c>
      <c r="D20" s="83" t="s">
        <v>135</v>
      </c>
      <c r="E20" s="84" t="s">
        <v>52</v>
      </c>
      <c r="F20" s="652"/>
      <c r="G20" s="43" t="s">
        <v>172</v>
      </c>
    </row>
    <row r="21" spans="1:7" ht="17.25" customHeight="1" x14ac:dyDescent="0.2">
      <c r="A21" s="82" t="s">
        <v>173</v>
      </c>
      <c r="B21" s="82" t="s">
        <v>139</v>
      </c>
      <c r="C21" s="83" t="s">
        <v>140</v>
      </c>
      <c r="D21" s="83" t="s">
        <v>161</v>
      </c>
      <c r="E21" s="84" t="s">
        <v>174</v>
      </c>
      <c r="F21" s="652"/>
      <c r="G21" s="43" t="s">
        <v>175</v>
      </c>
    </row>
    <row r="22" spans="1:7" ht="17.25" customHeight="1" x14ac:dyDescent="0.2">
      <c r="A22" s="82" t="s">
        <v>176</v>
      </c>
      <c r="B22" s="82" t="s">
        <v>159</v>
      </c>
      <c r="C22" s="83" t="s">
        <v>140</v>
      </c>
      <c r="D22" s="83" t="s">
        <v>161</v>
      </c>
      <c r="E22" s="84" t="s">
        <v>98</v>
      </c>
      <c r="F22" s="652"/>
      <c r="G22" s="43" t="s">
        <v>177</v>
      </c>
    </row>
    <row r="23" spans="1:7" ht="17.25" customHeight="1" x14ac:dyDescent="0.2">
      <c r="A23" s="82" t="s">
        <v>178</v>
      </c>
      <c r="B23" s="82" t="s">
        <v>139</v>
      </c>
      <c r="C23" s="83" t="s">
        <v>140</v>
      </c>
      <c r="D23" s="83" t="s">
        <v>124</v>
      </c>
      <c r="E23" s="84">
        <v>20</v>
      </c>
      <c r="F23" s="652"/>
      <c r="G23" s="43" t="s">
        <v>179</v>
      </c>
    </row>
    <row r="24" spans="1:7" ht="17.25" customHeight="1" x14ac:dyDescent="0.2">
      <c r="A24" s="82" t="s">
        <v>180</v>
      </c>
      <c r="B24" s="82" t="s">
        <v>139</v>
      </c>
      <c r="C24" s="83" t="s">
        <v>141</v>
      </c>
      <c r="D24" s="83" t="s">
        <v>141</v>
      </c>
      <c r="E24" s="84" t="s">
        <v>181</v>
      </c>
      <c r="F24" s="652"/>
      <c r="G24" s="43" t="s">
        <v>182</v>
      </c>
    </row>
    <row r="25" spans="1:7" ht="17.25" customHeight="1" x14ac:dyDescent="0.2">
      <c r="A25" s="82" t="s">
        <v>183</v>
      </c>
      <c r="B25" s="82" t="s">
        <v>139</v>
      </c>
      <c r="C25" s="83" t="s">
        <v>129</v>
      </c>
      <c r="D25" s="83" t="s">
        <v>141</v>
      </c>
      <c r="E25" s="84" t="s">
        <v>184</v>
      </c>
      <c r="F25" s="652"/>
      <c r="G25" s="43" t="s">
        <v>185</v>
      </c>
    </row>
    <row r="26" spans="1:7" ht="17.25" customHeight="1" x14ac:dyDescent="0.2">
      <c r="A26" s="82" t="s">
        <v>186</v>
      </c>
      <c r="B26" s="82" t="s">
        <v>159</v>
      </c>
      <c r="C26" s="83" t="s">
        <v>140</v>
      </c>
      <c r="D26" s="83" t="s">
        <v>135</v>
      </c>
      <c r="E26" s="84">
        <v>20</v>
      </c>
      <c r="F26" s="652"/>
      <c r="G26" s="43" t="s">
        <v>187</v>
      </c>
    </row>
    <row r="27" spans="1:7" ht="17.25" customHeight="1" x14ac:dyDescent="0.2">
      <c r="A27" s="82" t="s">
        <v>188</v>
      </c>
      <c r="B27" s="82" t="s">
        <v>139</v>
      </c>
      <c r="C27" s="83" t="s">
        <v>129</v>
      </c>
      <c r="D27" s="83" t="s">
        <v>135</v>
      </c>
      <c r="E27" s="84" t="s">
        <v>189</v>
      </c>
      <c r="F27" s="42" t="s">
        <v>126</v>
      </c>
      <c r="G27" s="43" t="s">
        <v>190</v>
      </c>
    </row>
    <row r="28" spans="1:7" ht="17.25" customHeight="1" x14ac:dyDescent="0.2">
      <c r="A28" s="76" t="s">
        <v>65</v>
      </c>
      <c r="B28" s="76" t="s">
        <v>139</v>
      </c>
      <c r="C28" s="77" t="s">
        <v>129</v>
      </c>
      <c r="D28" s="77" t="s">
        <v>135</v>
      </c>
      <c r="E28" s="78" t="s">
        <v>191</v>
      </c>
      <c r="F28" s="79" t="s">
        <v>126</v>
      </c>
      <c r="G28" s="43" t="s">
        <v>192</v>
      </c>
    </row>
    <row r="29" spans="1:7" ht="17.25" customHeight="1" x14ac:dyDescent="0.25">
      <c r="A29" s="86" t="s">
        <v>44</v>
      </c>
      <c r="B29" s="87"/>
      <c r="C29" s="88"/>
      <c r="D29" s="88"/>
      <c r="E29" s="89"/>
      <c r="F29" s="90"/>
      <c r="G29" s="653" t="s">
        <v>193</v>
      </c>
    </row>
    <row r="30" spans="1:7" ht="17.25" customHeight="1" x14ac:dyDescent="0.2">
      <c r="A30" s="101" t="s">
        <v>194</v>
      </c>
      <c r="B30" s="97" t="s">
        <v>195</v>
      </c>
      <c r="C30" s="98" t="s">
        <v>129</v>
      </c>
      <c r="D30" s="98" t="s">
        <v>124</v>
      </c>
      <c r="E30" s="102" t="s">
        <v>196</v>
      </c>
      <c r="F30" s="103"/>
      <c r="G30" s="654"/>
    </row>
    <row r="31" spans="1:7" ht="17.25" customHeight="1" x14ac:dyDescent="0.2">
      <c r="A31" s="104" t="s">
        <v>197</v>
      </c>
      <c r="B31" s="82" t="s">
        <v>139</v>
      </c>
      <c r="C31" s="83" t="s">
        <v>129</v>
      </c>
      <c r="D31" s="83" t="s">
        <v>124</v>
      </c>
      <c r="E31" s="85" t="s">
        <v>102</v>
      </c>
      <c r="F31" s="42"/>
      <c r="G31" s="105" t="s">
        <v>198</v>
      </c>
    </row>
    <row r="32" spans="1:7" ht="17.25" customHeight="1" x14ac:dyDescent="0.2">
      <c r="A32" s="104" t="s">
        <v>199</v>
      </c>
      <c r="B32" s="82" t="s">
        <v>200</v>
      </c>
      <c r="C32" s="83" t="s">
        <v>129</v>
      </c>
      <c r="D32" s="83" t="s">
        <v>124</v>
      </c>
      <c r="E32" s="84" t="s">
        <v>49</v>
      </c>
      <c r="F32" s="42"/>
      <c r="G32" s="43" t="s">
        <v>201</v>
      </c>
    </row>
    <row r="33" spans="1:7" ht="17.25" customHeight="1" x14ac:dyDescent="0.2">
      <c r="A33" s="104" t="s">
        <v>202</v>
      </c>
      <c r="B33" s="82" t="s">
        <v>144</v>
      </c>
      <c r="C33" s="83" t="s">
        <v>140</v>
      </c>
      <c r="D33" s="83" t="s">
        <v>124</v>
      </c>
      <c r="E33" s="84" t="s">
        <v>181</v>
      </c>
      <c r="F33" s="42"/>
      <c r="G33" s="43" t="s">
        <v>203</v>
      </c>
    </row>
    <row r="34" spans="1:7" ht="17.25" customHeight="1" x14ac:dyDescent="0.2">
      <c r="A34" s="104" t="s">
        <v>58</v>
      </c>
      <c r="B34" s="82" t="s">
        <v>144</v>
      </c>
      <c r="C34" s="83"/>
      <c r="D34" s="83"/>
      <c r="E34" s="84"/>
      <c r="F34" s="42"/>
      <c r="G34" s="106" t="s">
        <v>204</v>
      </c>
    </row>
    <row r="35" spans="1:7" ht="17.25" customHeight="1" x14ac:dyDescent="0.2">
      <c r="A35" s="104" t="s">
        <v>59</v>
      </c>
      <c r="B35" s="82" t="s">
        <v>205</v>
      </c>
      <c r="C35" s="83"/>
      <c r="D35" s="83"/>
      <c r="E35" s="84"/>
      <c r="F35" s="42"/>
      <c r="G35" s="106" t="s">
        <v>91</v>
      </c>
    </row>
    <row r="36" spans="1:7" ht="17.25" customHeight="1" x14ac:dyDescent="0.25">
      <c r="A36" s="86" t="s">
        <v>206</v>
      </c>
      <c r="B36" s="87"/>
      <c r="C36" s="88"/>
      <c r="D36" s="88"/>
      <c r="E36" s="89"/>
      <c r="F36" s="90"/>
      <c r="G36" s="655" t="s">
        <v>207</v>
      </c>
    </row>
    <row r="37" spans="1:7" ht="17.25" customHeight="1" x14ac:dyDescent="0.2">
      <c r="A37" s="107" t="s">
        <v>208</v>
      </c>
      <c r="B37" s="108" t="s">
        <v>209</v>
      </c>
      <c r="C37" s="109" t="s">
        <v>140</v>
      </c>
      <c r="D37" s="109" t="s">
        <v>124</v>
      </c>
      <c r="E37" s="110" t="s">
        <v>210</v>
      </c>
      <c r="F37" s="111" t="s">
        <v>130</v>
      </c>
      <c r="G37" s="656"/>
    </row>
    <row r="38" spans="1:7" ht="17.25" customHeight="1" x14ac:dyDescent="0.2">
      <c r="A38" s="107" t="s">
        <v>15</v>
      </c>
      <c r="B38" s="108" t="s">
        <v>209</v>
      </c>
      <c r="C38" s="109" t="s">
        <v>140</v>
      </c>
      <c r="D38" s="109" t="s">
        <v>124</v>
      </c>
      <c r="E38" s="110" t="s">
        <v>211</v>
      </c>
      <c r="F38" s="111" t="s">
        <v>130</v>
      </c>
      <c r="G38" s="112" t="s">
        <v>212</v>
      </c>
    </row>
    <row r="39" spans="1:7" ht="19.5" customHeight="1" x14ac:dyDescent="0.2">
      <c r="A39" s="113" t="s">
        <v>213</v>
      </c>
      <c r="B39" s="113"/>
      <c r="C39" s="113"/>
      <c r="D39" s="113"/>
      <c r="E39" s="113"/>
      <c r="F39" s="114"/>
      <c r="G39" s="114"/>
    </row>
    <row r="40" spans="1:7" ht="14.25" x14ac:dyDescent="0.2">
      <c r="A40" s="113" t="s">
        <v>214</v>
      </c>
      <c r="B40" s="113"/>
      <c r="C40" s="113"/>
      <c r="D40" s="113"/>
      <c r="E40" s="113"/>
      <c r="F40" s="114"/>
      <c r="G40" s="114"/>
    </row>
    <row r="42" spans="1:7" ht="18" x14ac:dyDescent="0.25">
      <c r="A42" s="116"/>
      <c r="B42" s="116"/>
      <c r="G42" s="117"/>
    </row>
    <row r="43" spans="1:7" ht="27.75" x14ac:dyDescent="0.2">
      <c r="A43" s="649" t="s">
        <v>215</v>
      </c>
      <c r="B43" s="649"/>
      <c r="C43" s="649"/>
      <c r="D43" s="649"/>
      <c r="E43" s="649"/>
      <c r="F43" s="649"/>
      <c r="G43" s="649"/>
    </row>
    <row r="44" spans="1:7" ht="49.5" x14ac:dyDescent="0.2">
      <c r="A44" s="71" t="s">
        <v>114</v>
      </c>
      <c r="B44" s="72" t="s">
        <v>115</v>
      </c>
      <c r="C44" s="36" t="s">
        <v>116</v>
      </c>
      <c r="D44" s="73" t="s">
        <v>117</v>
      </c>
      <c r="E44" s="73" t="s">
        <v>118</v>
      </c>
      <c r="F44" s="73" t="s">
        <v>119</v>
      </c>
      <c r="G44" s="73" t="s">
        <v>62</v>
      </c>
    </row>
    <row r="45" spans="1:7" ht="15.75" x14ac:dyDescent="0.2">
      <c r="A45" s="118" t="s">
        <v>216</v>
      </c>
      <c r="B45" s="119"/>
      <c r="C45" s="94"/>
      <c r="D45" s="94"/>
      <c r="E45" s="94"/>
      <c r="F45" s="58"/>
      <c r="G45" s="96"/>
    </row>
    <row r="46" spans="1:7" ht="28.5" x14ac:dyDescent="0.2">
      <c r="A46" s="82" t="s">
        <v>217</v>
      </c>
      <c r="B46" s="104" t="s">
        <v>159</v>
      </c>
      <c r="C46" s="83" t="s">
        <v>141</v>
      </c>
      <c r="D46" s="83" t="s">
        <v>141</v>
      </c>
      <c r="E46" s="84" t="s">
        <v>181</v>
      </c>
      <c r="F46" s="648" t="s">
        <v>148</v>
      </c>
      <c r="G46" s="43" t="s">
        <v>218</v>
      </c>
    </row>
    <row r="47" spans="1:7" ht="28.5" x14ac:dyDescent="0.2">
      <c r="A47" s="82" t="s">
        <v>219</v>
      </c>
      <c r="B47" s="104" t="s">
        <v>144</v>
      </c>
      <c r="C47" s="83" t="s">
        <v>129</v>
      </c>
      <c r="D47" s="83" t="s">
        <v>220</v>
      </c>
      <c r="E47" s="84">
        <v>10</v>
      </c>
      <c r="F47" s="648"/>
      <c r="G47" s="43" t="s">
        <v>221</v>
      </c>
    </row>
    <row r="48" spans="1:7" ht="28.5" x14ac:dyDescent="0.2">
      <c r="A48" s="82" t="s">
        <v>222</v>
      </c>
      <c r="B48" s="104" t="s">
        <v>144</v>
      </c>
      <c r="C48" s="83" t="s">
        <v>141</v>
      </c>
      <c r="D48" s="83" t="s">
        <v>141</v>
      </c>
      <c r="E48" s="84">
        <v>15</v>
      </c>
      <c r="F48" s="648"/>
      <c r="G48" s="43" t="s">
        <v>223</v>
      </c>
    </row>
    <row r="49" spans="1:7" ht="28.5" x14ac:dyDescent="0.2">
      <c r="A49" s="82" t="s">
        <v>224</v>
      </c>
      <c r="B49" s="104" t="s">
        <v>164</v>
      </c>
      <c r="C49" s="83" t="s">
        <v>141</v>
      </c>
      <c r="D49" s="83" t="s">
        <v>135</v>
      </c>
      <c r="E49" s="84" t="s">
        <v>225</v>
      </c>
      <c r="F49" s="42" t="s">
        <v>126</v>
      </c>
      <c r="G49" s="43" t="s">
        <v>226</v>
      </c>
    </row>
    <row r="50" spans="1:7" ht="28.5" x14ac:dyDescent="0.2">
      <c r="A50" s="82" t="s">
        <v>10</v>
      </c>
      <c r="B50" s="104" t="s">
        <v>164</v>
      </c>
      <c r="C50" s="83" t="s">
        <v>123</v>
      </c>
      <c r="D50" s="83" t="s">
        <v>228</v>
      </c>
      <c r="E50" s="84" t="s">
        <v>229</v>
      </c>
      <c r="F50" s="42" t="s">
        <v>230</v>
      </c>
      <c r="G50" s="43" t="s">
        <v>231</v>
      </c>
    </row>
    <row r="51" spans="1:7" ht="15.75" x14ac:dyDescent="0.2">
      <c r="A51" s="118" t="s">
        <v>120</v>
      </c>
      <c r="B51" s="119"/>
      <c r="C51" s="94"/>
      <c r="D51" s="94"/>
      <c r="E51" s="94"/>
      <c r="F51" s="58"/>
      <c r="G51" s="96"/>
    </row>
    <row r="52" spans="1:7" ht="15" x14ac:dyDescent="0.2">
      <c r="A52" s="82" t="s">
        <v>35</v>
      </c>
      <c r="B52" s="104" t="s">
        <v>195</v>
      </c>
      <c r="C52" s="83" t="s">
        <v>129</v>
      </c>
      <c r="D52" s="83" t="s">
        <v>124</v>
      </c>
      <c r="E52" s="84" t="s">
        <v>125</v>
      </c>
      <c r="F52" s="42" t="s">
        <v>126</v>
      </c>
      <c r="G52" s="43" t="s">
        <v>232</v>
      </c>
    </row>
    <row r="53" spans="1:7" ht="28.5" x14ac:dyDescent="0.2">
      <c r="A53" s="82" t="s">
        <v>233</v>
      </c>
      <c r="B53" s="104" t="s">
        <v>159</v>
      </c>
      <c r="C53" s="83" t="s">
        <v>129</v>
      </c>
      <c r="D53" s="83" t="s">
        <v>124</v>
      </c>
      <c r="E53" s="83" t="s">
        <v>181</v>
      </c>
      <c r="F53" s="42" t="s">
        <v>126</v>
      </c>
      <c r="G53" s="43" t="s">
        <v>234</v>
      </c>
    </row>
    <row r="54" spans="1:7" ht="28.5" x14ac:dyDescent="0.2">
      <c r="A54" s="82" t="s">
        <v>235</v>
      </c>
      <c r="B54" s="104" t="s">
        <v>236</v>
      </c>
      <c r="C54" s="83" t="s">
        <v>129</v>
      </c>
      <c r="D54" s="83" t="s">
        <v>124</v>
      </c>
      <c r="E54" s="83">
        <v>5</v>
      </c>
      <c r="F54" s="42" t="s">
        <v>130</v>
      </c>
      <c r="G54" s="43" t="s">
        <v>237</v>
      </c>
    </row>
    <row r="55" spans="1:7" ht="28.5" x14ac:dyDescent="0.2">
      <c r="A55" s="82" t="s">
        <v>23</v>
      </c>
      <c r="B55" s="104" t="s">
        <v>144</v>
      </c>
      <c r="C55" s="83" t="s">
        <v>129</v>
      </c>
      <c r="D55" s="83" t="s">
        <v>141</v>
      </c>
      <c r="E55" s="83" t="s">
        <v>238</v>
      </c>
      <c r="F55" s="42" t="s">
        <v>230</v>
      </c>
      <c r="G55" s="43" t="s">
        <v>239</v>
      </c>
    </row>
    <row r="56" spans="1:7" ht="42.75" x14ac:dyDescent="0.2">
      <c r="A56" s="42" t="s">
        <v>240</v>
      </c>
      <c r="B56" s="104" t="s">
        <v>144</v>
      </c>
      <c r="C56" s="83" t="s">
        <v>129</v>
      </c>
      <c r="D56" s="83" t="s">
        <v>124</v>
      </c>
      <c r="E56" s="83" t="s">
        <v>100</v>
      </c>
      <c r="F56" s="42" t="s">
        <v>126</v>
      </c>
      <c r="G56" s="43" t="s">
        <v>241</v>
      </c>
    </row>
    <row r="57" spans="1:7" ht="28.5" x14ac:dyDescent="0.2">
      <c r="A57" s="42" t="s">
        <v>242</v>
      </c>
      <c r="B57" s="104" t="s">
        <v>159</v>
      </c>
      <c r="C57" s="83" t="s">
        <v>129</v>
      </c>
      <c r="D57" s="83" t="s">
        <v>124</v>
      </c>
      <c r="E57" s="83" t="s">
        <v>147</v>
      </c>
      <c r="F57" s="42" t="s">
        <v>126</v>
      </c>
      <c r="G57" s="43" t="s">
        <v>234</v>
      </c>
    </row>
    <row r="58" spans="1:7" ht="28.5" x14ac:dyDescent="0.2">
      <c r="A58" s="82" t="s">
        <v>37</v>
      </c>
      <c r="B58" s="104" t="s">
        <v>122</v>
      </c>
      <c r="C58" s="83" t="s">
        <v>129</v>
      </c>
      <c r="D58" s="83" t="s">
        <v>124</v>
      </c>
      <c r="E58" s="120" t="s">
        <v>125</v>
      </c>
      <c r="F58" s="42" t="s">
        <v>130</v>
      </c>
      <c r="G58" s="43" t="s">
        <v>243</v>
      </c>
    </row>
    <row r="59" spans="1:7" ht="28.5" x14ac:dyDescent="0.2">
      <c r="A59" s="82" t="s">
        <v>244</v>
      </c>
      <c r="B59" s="104" t="s">
        <v>139</v>
      </c>
      <c r="C59" s="83" t="s">
        <v>129</v>
      </c>
      <c r="D59" s="83" t="s">
        <v>124</v>
      </c>
      <c r="E59" s="83" t="s">
        <v>181</v>
      </c>
      <c r="F59" s="42" t="s">
        <v>245</v>
      </c>
      <c r="G59" s="43" t="s">
        <v>246</v>
      </c>
    </row>
    <row r="60" spans="1:7" ht="28.5" x14ac:dyDescent="0.2">
      <c r="A60" s="82" t="s">
        <v>247</v>
      </c>
      <c r="B60" s="104" t="s">
        <v>248</v>
      </c>
      <c r="C60" s="83" t="s">
        <v>129</v>
      </c>
      <c r="D60" s="83" t="s">
        <v>135</v>
      </c>
      <c r="E60" s="120" t="s">
        <v>249</v>
      </c>
      <c r="F60" s="42" t="s">
        <v>130</v>
      </c>
      <c r="G60" s="43" t="s">
        <v>250</v>
      </c>
    </row>
    <row r="61" spans="1:7" ht="28.5" x14ac:dyDescent="0.2">
      <c r="A61" s="82" t="s">
        <v>19</v>
      </c>
      <c r="B61" s="104" t="s">
        <v>164</v>
      </c>
      <c r="C61" s="83" t="s">
        <v>140</v>
      </c>
      <c r="D61" s="83" t="s">
        <v>141</v>
      </c>
      <c r="E61" s="121" t="s">
        <v>251</v>
      </c>
      <c r="F61" s="42" t="s">
        <v>252</v>
      </c>
      <c r="G61" s="43" t="s">
        <v>253</v>
      </c>
    </row>
    <row r="62" spans="1:7" ht="15.75" x14ac:dyDescent="0.2">
      <c r="A62" s="118" t="s">
        <v>162</v>
      </c>
      <c r="B62" s="119"/>
      <c r="C62" s="94"/>
      <c r="D62" s="94"/>
      <c r="E62" s="94"/>
      <c r="F62" s="58"/>
      <c r="G62" s="96"/>
    </row>
    <row r="63" spans="1:7" ht="28.5" x14ac:dyDescent="0.2">
      <c r="A63" s="82" t="s">
        <v>38</v>
      </c>
      <c r="B63" s="104" t="s">
        <v>254</v>
      </c>
      <c r="C63" s="83" t="s">
        <v>129</v>
      </c>
      <c r="D63" s="83" t="s">
        <v>161</v>
      </c>
      <c r="E63" s="84" t="s">
        <v>255</v>
      </c>
      <c r="F63" s="42" t="s">
        <v>245</v>
      </c>
      <c r="G63" s="43" t="s">
        <v>256</v>
      </c>
    </row>
    <row r="64" spans="1:7" ht="42.75" x14ac:dyDescent="0.2">
      <c r="A64" s="82" t="s">
        <v>257</v>
      </c>
      <c r="B64" s="104" t="s">
        <v>164</v>
      </c>
      <c r="C64" s="83" t="s">
        <v>129</v>
      </c>
      <c r="D64" s="83" t="s">
        <v>124</v>
      </c>
      <c r="E64" s="83" t="s">
        <v>258</v>
      </c>
      <c r="F64" s="42" t="s">
        <v>126</v>
      </c>
      <c r="G64" s="43" t="s">
        <v>259</v>
      </c>
    </row>
    <row r="65" spans="1:7" ht="28.5" x14ac:dyDescent="0.2">
      <c r="A65" s="79" t="s">
        <v>260</v>
      </c>
      <c r="B65" s="122" t="s">
        <v>164</v>
      </c>
      <c r="C65" s="77" t="s">
        <v>129</v>
      </c>
      <c r="D65" s="77" t="s">
        <v>124</v>
      </c>
      <c r="E65" s="77">
        <v>40</v>
      </c>
      <c r="F65" s="79" t="s">
        <v>126</v>
      </c>
      <c r="G65" s="80" t="s">
        <v>261</v>
      </c>
    </row>
    <row r="66" spans="1:7" ht="15.75" x14ac:dyDescent="0.2">
      <c r="A66" s="118" t="s">
        <v>132</v>
      </c>
      <c r="B66" s="119"/>
      <c r="C66" s="94"/>
      <c r="D66" s="94"/>
      <c r="E66" s="94"/>
      <c r="F66" s="58"/>
      <c r="G66" s="96"/>
    </row>
    <row r="67" spans="1:7" ht="30" x14ac:dyDescent="0.2">
      <c r="A67" s="103" t="s">
        <v>262</v>
      </c>
      <c r="B67" s="101" t="s">
        <v>144</v>
      </c>
      <c r="C67" s="98" t="s">
        <v>140</v>
      </c>
      <c r="D67" s="98" t="s">
        <v>141</v>
      </c>
      <c r="E67" s="98" t="s">
        <v>147</v>
      </c>
      <c r="F67" s="657" t="s">
        <v>148</v>
      </c>
      <c r="G67" s="100" t="s">
        <v>263</v>
      </c>
    </row>
    <row r="68" spans="1:7" ht="28.5" x14ac:dyDescent="0.2">
      <c r="A68" s="82" t="s">
        <v>25</v>
      </c>
      <c r="B68" s="104" t="s">
        <v>159</v>
      </c>
      <c r="C68" s="83" t="s">
        <v>140</v>
      </c>
      <c r="D68" s="83" t="s">
        <v>141</v>
      </c>
      <c r="E68" s="83" t="s">
        <v>100</v>
      </c>
      <c r="F68" s="648"/>
      <c r="G68" s="43" t="s">
        <v>263</v>
      </c>
    </row>
    <row r="69" spans="1:7" ht="15" x14ac:dyDescent="0.2">
      <c r="A69" s="82" t="s">
        <v>264</v>
      </c>
      <c r="B69" s="104" t="s">
        <v>159</v>
      </c>
      <c r="C69" s="83" t="s">
        <v>129</v>
      </c>
      <c r="D69" s="83" t="s">
        <v>135</v>
      </c>
      <c r="E69" s="83" t="s">
        <v>265</v>
      </c>
      <c r="F69" s="648" t="s">
        <v>266</v>
      </c>
      <c r="G69" s="43" t="s">
        <v>267</v>
      </c>
    </row>
    <row r="70" spans="1:7" ht="28.5" x14ac:dyDescent="0.2">
      <c r="A70" s="82" t="s">
        <v>13</v>
      </c>
      <c r="B70" s="104" t="s">
        <v>144</v>
      </c>
      <c r="C70" s="83" t="s">
        <v>129</v>
      </c>
      <c r="D70" s="83" t="s">
        <v>141</v>
      </c>
      <c r="E70" s="83" t="s">
        <v>268</v>
      </c>
      <c r="F70" s="648"/>
      <c r="G70" s="43" t="s">
        <v>269</v>
      </c>
    </row>
    <row r="71" spans="1:7" ht="28.5" x14ac:dyDescent="0.2">
      <c r="A71" s="82" t="s">
        <v>76</v>
      </c>
      <c r="B71" s="104" t="s">
        <v>144</v>
      </c>
      <c r="C71" s="83" t="s">
        <v>140</v>
      </c>
      <c r="D71" s="83" t="s">
        <v>141</v>
      </c>
      <c r="E71" s="83" t="s">
        <v>189</v>
      </c>
      <c r="F71" s="648"/>
      <c r="G71" s="43" t="s">
        <v>270</v>
      </c>
    </row>
    <row r="72" spans="1:7" ht="15" x14ac:dyDescent="0.2">
      <c r="A72" s="82" t="s">
        <v>271</v>
      </c>
      <c r="B72" s="104" t="s">
        <v>144</v>
      </c>
      <c r="C72" s="83" t="s">
        <v>129</v>
      </c>
      <c r="D72" s="83" t="s">
        <v>161</v>
      </c>
      <c r="E72" s="83" t="s">
        <v>272</v>
      </c>
      <c r="F72" s="648" t="s">
        <v>148</v>
      </c>
      <c r="G72" s="43" t="s">
        <v>273</v>
      </c>
    </row>
    <row r="73" spans="1:7" ht="28.5" x14ac:dyDescent="0.2">
      <c r="A73" s="82" t="s">
        <v>74</v>
      </c>
      <c r="B73" s="104" t="s">
        <v>159</v>
      </c>
      <c r="C73" s="83" t="s">
        <v>141</v>
      </c>
      <c r="D73" s="83" t="s">
        <v>141</v>
      </c>
      <c r="E73" s="83" t="s">
        <v>274</v>
      </c>
      <c r="F73" s="648"/>
      <c r="G73" s="43" t="s">
        <v>275</v>
      </c>
    </row>
    <row r="74" spans="1:7" ht="28.5" x14ac:dyDescent="0.2">
      <c r="A74" s="82" t="s">
        <v>276</v>
      </c>
      <c r="B74" s="104" t="s">
        <v>277</v>
      </c>
      <c r="C74" s="83" t="s">
        <v>129</v>
      </c>
      <c r="D74" s="83" t="s">
        <v>141</v>
      </c>
      <c r="E74" s="83" t="s">
        <v>278</v>
      </c>
      <c r="F74" s="648"/>
      <c r="G74" s="43" t="s">
        <v>279</v>
      </c>
    </row>
    <row r="75" spans="1:7" ht="15" x14ac:dyDescent="0.2">
      <c r="A75" s="82" t="s">
        <v>101</v>
      </c>
      <c r="B75" s="104" t="s">
        <v>277</v>
      </c>
      <c r="C75" s="83" t="s">
        <v>129</v>
      </c>
      <c r="D75" s="83" t="s">
        <v>141</v>
      </c>
      <c r="E75" s="83" t="s">
        <v>280</v>
      </c>
      <c r="F75" s="648"/>
      <c r="G75" s="43" t="s">
        <v>281</v>
      </c>
    </row>
    <row r="76" spans="1:7" ht="14.25" x14ac:dyDescent="0.2">
      <c r="A76" s="113" t="s">
        <v>282</v>
      </c>
      <c r="B76" s="113"/>
      <c r="C76" s="113"/>
      <c r="D76" s="123"/>
      <c r="E76" s="123"/>
      <c r="F76" s="114"/>
    </row>
    <row r="77" spans="1:7" ht="14.25" x14ac:dyDescent="0.2">
      <c r="A77" s="113" t="s">
        <v>283</v>
      </c>
      <c r="D77" s="124"/>
      <c r="E77" s="124"/>
      <c r="F77" s="114"/>
    </row>
  </sheetData>
  <sheetProtection password="CAEF" sheet="1" objects="1" scenarios="1"/>
  <mergeCells count="13">
    <mergeCell ref="H2:L3"/>
    <mergeCell ref="F72:F75"/>
    <mergeCell ref="A1:G1"/>
    <mergeCell ref="F7:F8"/>
    <mergeCell ref="F12:F13"/>
    <mergeCell ref="F14:F15"/>
    <mergeCell ref="F17:F26"/>
    <mergeCell ref="G29:G30"/>
    <mergeCell ref="G36:G37"/>
    <mergeCell ref="A43:G43"/>
    <mergeCell ref="F46:F48"/>
    <mergeCell ref="F67:F68"/>
    <mergeCell ref="F69:F71"/>
  </mergeCells>
  <hyperlinks>
    <hyperlink ref="H2:L3" location="Anleitung!A1" display="◄ ZURÜCK ZUR STARTSEITE / BEDIENUNGSANLEITUNG" xr:uid="{00000000-0004-0000-0800-000000000000}"/>
  </hyperlinks>
  <pageMargins left="0.23622047244094491" right="0.15748031496062992" top="0.19685039370078741" bottom="0.19685039370078741" header="0.15748031496062992" footer="0.15748031496062992"/>
  <pageSetup paperSize="9" scale="8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5714D-CE38-4D8D-B6D2-30BC00D3FAF3}">
  <dimension ref="A1:BV82"/>
  <sheetViews>
    <sheetView workbookViewId="0">
      <pane xSplit="4" ySplit="13" topLeftCell="BR32" activePane="bottomRight" state="frozen"/>
      <selection pane="topRight" activeCell="E1" sqref="E1"/>
      <selection pane="bottomLeft" activeCell="A13" sqref="A13"/>
      <selection pane="bottomRight" activeCell="BV2" sqref="BV2"/>
    </sheetView>
  </sheetViews>
  <sheetFormatPr baseColWidth="10" defaultRowHeight="14.25" x14ac:dyDescent="0.2"/>
  <cols>
    <col min="1" max="1" width="35.125" bestFit="1" customWidth="1"/>
    <col min="4" max="4" width="94.125" customWidth="1"/>
    <col min="5" max="5" width="17.625" customWidth="1"/>
    <col min="10" max="10" width="16.875" customWidth="1"/>
    <col min="11" max="11" width="13.375" customWidth="1"/>
  </cols>
  <sheetData>
    <row r="1" spans="1:74" ht="15" thickBot="1" x14ac:dyDescent="0.25">
      <c r="A1">
        <v>1</v>
      </c>
      <c r="B1">
        <v>2</v>
      </c>
      <c r="C1">
        <v>3</v>
      </c>
      <c r="D1">
        <v>4</v>
      </c>
      <c r="E1">
        <v>5</v>
      </c>
      <c r="F1">
        <v>6</v>
      </c>
      <c r="G1">
        <v>7</v>
      </c>
      <c r="H1">
        <v>8</v>
      </c>
      <c r="I1">
        <v>9</v>
      </c>
      <c r="J1">
        <v>10</v>
      </c>
      <c r="K1">
        <v>11</v>
      </c>
      <c r="L1">
        <v>12</v>
      </c>
      <c r="M1">
        <v>13</v>
      </c>
      <c r="N1">
        <v>14</v>
      </c>
      <c r="O1">
        <v>15</v>
      </c>
      <c r="P1">
        <v>16</v>
      </c>
      <c r="Q1">
        <v>17</v>
      </c>
      <c r="R1">
        <v>18</v>
      </c>
      <c r="S1">
        <v>19</v>
      </c>
      <c r="T1">
        <v>20</v>
      </c>
      <c r="U1">
        <v>21</v>
      </c>
      <c r="V1">
        <v>22</v>
      </c>
      <c r="W1">
        <v>23</v>
      </c>
      <c r="X1">
        <v>24</v>
      </c>
      <c r="Y1">
        <v>25</v>
      </c>
      <c r="Z1">
        <v>26</v>
      </c>
      <c r="AA1">
        <v>27</v>
      </c>
      <c r="AB1">
        <v>28</v>
      </c>
      <c r="AC1">
        <v>29</v>
      </c>
      <c r="AD1">
        <v>30</v>
      </c>
      <c r="AE1">
        <v>31</v>
      </c>
      <c r="AF1">
        <v>32</v>
      </c>
      <c r="AG1">
        <v>33</v>
      </c>
      <c r="AH1">
        <v>34</v>
      </c>
      <c r="AI1">
        <v>35</v>
      </c>
      <c r="AJ1">
        <v>36</v>
      </c>
      <c r="AK1">
        <v>37</v>
      </c>
      <c r="AL1">
        <v>38</v>
      </c>
      <c r="AM1">
        <v>39</v>
      </c>
      <c r="AN1">
        <v>40</v>
      </c>
      <c r="AO1">
        <v>41</v>
      </c>
      <c r="AP1">
        <v>42</v>
      </c>
      <c r="AQ1">
        <v>43</v>
      </c>
      <c r="AR1">
        <v>44</v>
      </c>
      <c r="AS1">
        <v>45</v>
      </c>
      <c r="AT1">
        <v>46</v>
      </c>
      <c r="AU1">
        <v>47</v>
      </c>
      <c r="AV1">
        <v>48</v>
      </c>
      <c r="AW1">
        <v>49</v>
      </c>
      <c r="AX1">
        <v>50</v>
      </c>
      <c r="AY1">
        <v>51</v>
      </c>
      <c r="AZ1">
        <v>52</v>
      </c>
      <c r="BA1">
        <v>53</v>
      </c>
      <c r="BB1">
        <v>54</v>
      </c>
      <c r="BC1">
        <v>55</v>
      </c>
      <c r="BD1">
        <v>56</v>
      </c>
      <c r="BE1">
        <v>57</v>
      </c>
      <c r="BF1">
        <v>58</v>
      </c>
      <c r="BG1">
        <v>59</v>
      </c>
      <c r="BH1">
        <v>60</v>
      </c>
      <c r="BI1">
        <v>61</v>
      </c>
      <c r="BJ1">
        <v>62</v>
      </c>
      <c r="BK1">
        <v>63</v>
      </c>
      <c r="BL1">
        <v>64</v>
      </c>
      <c r="BM1">
        <v>65</v>
      </c>
      <c r="BN1">
        <v>66</v>
      </c>
      <c r="BO1">
        <v>67</v>
      </c>
      <c r="BP1">
        <v>68</v>
      </c>
      <c r="BQ1">
        <v>69</v>
      </c>
      <c r="BR1">
        <v>70</v>
      </c>
      <c r="BS1">
        <v>71</v>
      </c>
      <c r="BT1">
        <v>72</v>
      </c>
      <c r="BU1">
        <v>73</v>
      </c>
      <c r="BV1">
        <v>74</v>
      </c>
    </row>
    <row r="2" spans="1:74" ht="16.5" thickBot="1" x14ac:dyDescent="0.25">
      <c r="A2" t="s">
        <v>958</v>
      </c>
      <c r="B2" t="s">
        <v>973</v>
      </c>
      <c r="C2" t="s">
        <v>974</v>
      </c>
      <c r="D2" t="s">
        <v>975</v>
      </c>
      <c r="E2" s="14" t="s">
        <v>976</v>
      </c>
      <c r="F2" s="14" t="s">
        <v>977</v>
      </c>
      <c r="G2" s="14" t="s">
        <v>978</v>
      </c>
      <c r="H2" s="45" t="s">
        <v>979</v>
      </c>
      <c r="I2" s="45" t="s">
        <v>980</v>
      </c>
      <c r="J2" s="24" t="s">
        <v>981</v>
      </c>
      <c r="K2" s="24" t="s">
        <v>982</v>
      </c>
      <c r="L2" s="23" t="s">
        <v>983</v>
      </c>
      <c r="M2" s="19" t="s">
        <v>984</v>
      </c>
      <c r="N2" s="17" t="s">
        <v>985</v>
      </c>
      <c r="O2" s="17" t="s">
        <v>986</v>
      </c>
      <c r="P2" s="20" t="s">
        <v>987</v>
      </c>
      <c r="Q2" s="25" t="s">
        <v>988</v>
      </c>
      <c r="R2" s="17" t="s">
        <v>989</v>
      </c>
      <c r="S2" s="17" t="s">
        <v>990</v>
      </c>
      <c r="T2" s="17" t="s">
        <v>991</v>
      </c>
      <c r="U2" s="17" t="s">
        <v>992</v>
      </c>
      <c r="V2" s="17" t="s">
        <v>993</v>
      </c>
      <c r="W2" s="18" t="s">
        <v>994</v>
      </c>
      <c r="X2" s="20" t="s">
        <v>995</v>
      </c>
      <c r="Y2" s="22" t="s">
        <v>996</v>
      </c>
      <c r="Z2" s="23" t="s">
        <v>997</v>
      </c>
      <c r="AA2" s="23" t="s">
        <v>998</v>
      </c>
      <c r="AB2" s="17" t="s">
        <v>999</v>
      </c>
      <c r="AC2" s="20" t="s">
        <v>1000</v>
      </c>
      <c r="AD2" s="17" t="s">
        <v>1001</v>
      </c>
      <c r="AE2" s="24" t="s">
        <v>1002</v>
      </c>
      <c r="AF2" s="24" t="s">
        <v>1003</v>
      </c>
      <c r="AG2" s="24" t="s">
        <v>1004</v>
      </c>
      <c r="AH2" s="20" t="s">
        <v>1005</v>
      </c>
      <c r="AI2" s="20" t="s">
        <v>1006</v>
      </c>
      <c r="AJ2" s="20" t="s">
        <v>1007</v>
      </c>
      <c r="AK2" s="20" t="s">
        <v>1008</v>
      </c>
      <c r="AL2" s="48" t="s">
        <v>1009</v>
      </c>
      <c r="AM2" s="49" t="s">
        <v>1010</v>
      </c>
      <c r="AN2" s="49" t="s">
        <v>1011</v>
      </c>
      <c r="AO2" s="20" t="s">
        <v>1012</v>
      </c>
      <c r="AP2" s="20" t="s">
        <v>1013</v>
      </c>
      <c r="AQ2" s="20" t="s">
        <v>1014</v>
      </c>
      <c r="AR2" s="17" t="s">
        <v>1015</v>
      </c>
      <c r="AS2" s="17" t="s">
        <v>1016</v>
      </c>
      <c r="AT2" s="24" t="s">
        <v>1017</v>
      </c>
      <c r="AU2" s="20" t="s">
        <v>1018</v>
      </c>
      <c r="AV2" s="24" t="s">
        <v>1019</v>
      </c>
      <c r="AW2" s="17" t="s">
        <v>1020</v>
      </c>
      <c r="AX2" s="17" t="s">
        <v>1021</v>
      </c>
      <c r="AY2" s="17" t="s">
        <v>1022</v>
      </c>
      <c r="AZ2" s="17" t="s">
        <v>1023</v>
      </c>
      <c r="BA2" s="17" t="s">
        <v>1024</v>
      </c>
      <c r="BB2" s="17" t="s">
        <v>1025</v>
      </c>
      <c r="BC2" s="17" t="s">
        <v>1026</v>
      </c>
      <c r="BD2" s="17" t="s">
        <v>1027</v>
      </c>
      <c r="BE2" s="17" t="s">
        <v>1028</v>
      </c>
      <c r="BF2" s="17" t="s">
        <v>1029</v>
      </c>
      <c r="BG2" s="49" t="s">
        <v>1030</v>
      </c>
      <c r="BH2" s="25" t="s">
        <v>1031</v>
      </c>
      <c r="BI2" s="25" t="s">
        <v>1032</v>
      </c>
      <c r="BJ2" s="25" t="s">
        <v>1033</v>
      </c>
      <c r="BK2" s="25" t="s">
        <v>1034</v>
      </c>
      <c r="BL2" s="25" t="s">
        <v>1035</v>
      </c>
      <c r="BM2" s="25" t="s">
        <v>1036</v>
      </c>
      <c r="BN2" s="25" t="s">
        <v>1037</v>
      </c>
      <c r="BO2" s="25" t="s">
        <v>1038</v>
      </c>
      <c r="BP2" s="25" t="s">
        <v>1039</v>
      </c>
      <c r="BQ2" s="25" t="s">
        <v>1040</v>
      </c>
      <c r="BR2" s="25" t="s">
        <v>1041</v>
      </c>
      <c r="BS2" s="25" t="s">
        <v>1042</v>
      </c>
      <c r="BT2" s="25" t="s">
        <v>1043</v>
      </c>
      <c r="BU2" s="25" t="s">
        <v>1044</v>
      </c>
      <c r="BV2" s="157" t="s">
        <v>1045</v>
      </c>
    </row>
    <row r="3" spans="1:74" ht="75.75" thickBot="1" x14ac:dyDescent="0.25">
      <c r="A3" t="s">
        <v>876</v>
      </c>
      <c r="E3" s="14" t="s">
        <v>63</v>
      </c>
      <c r="F3" s="14" t="s">
        <v>271</v>
      </c>
      <c r="G3" s="14" t="s">
        <v>8</v>
      </c>
      <c r="H3" s="45" t="s">
        <v>65</v>
      </c>
      <c r="I3" s="45" t="s">
        <v>906</v>
      </c>
      <c r="J3" s="24" t="s">
        <v>899</v>
      </c>
      <c r="K3" s="24" t="s">
        <v>11</v>
      </c>
      <c r="L3" s="23" t="s">
        <v>394</v>
      </c>
      <c r="M3" s="19" t="s">
        <v>67</v>
      </c>
      <c r="N3" s="17" t="s">
        <v>13</v>
      </c>
      <c r="O3" s="17" t="s">
        <v>68</v>
      </c>
      <c r="P3" s="20" t="s">
        <v>14</v>
      </c>
      <c r="Q3" s="25" t="s">
        <v>15</v>
      </c>
      <c r="R3" s="17" t="s">
        <v>69</v>
      </c>
      <c r="S3" s="17" t="s">
        <v>70</v>
      </c>
      <c r="T3" s="17" t="s">
        <v>71</v>
      </c>
      <c r="U3" s="17" t="s">
        <v>16</v>
      </c>
      <c r="V3" s="17" t="s">
        <v>397</v>
      </c>
      <c r="W3" s="18" t="s">
        <v>399</v>
      </c>
      <c r="X3" s="20" t="s">
        <v>609</v>
      </c>
      <c r="Y3" s="22" t="s">
        <v>915</v>
      </c>
      <c r="Z3" s="23" t="s">
        <v>19</v>
      </c>
      <c r="AA3" s="23" t="s">
        <v>473</v>
      </c>
      <c r="AB3" s="17" t="s">
        <v>21</v>
      </c>
      <c r="AC3" s="20" t="s">
        <v>23</v>
      </c>
      <c r="AD3" s="17" t="s">
        <v>902</v>
      </c>
      <c r="AE3" s="24" t="s">
        <v>557</v>
      </c>
      <c r="AF3" s="24" t="s">
        <v>24</v>
      </c>
      <c r="AG3" s="24" t="s">
        <v>93</v>
      </c>
      <c r="AH3" s="20" t="s">
        <v>25</v>
      </c>
      <c r="AI3" s="20" t="s">
        <v>26</v>
      </c>
      <c r="AJ3" s="20" t="s">
        <v>28</v>
      </c>
      <c r="AK3" s="20" t="s">
        <v>30</v>
      </c>
      <c r="AL3" s="48" t="s">
        <v>31</v>
      </c>
      <c r="AM3" s="49" t="s">
        <v>74</v>
      </c>
      <c r="AN3" s="49" t="s">
        <v>549</v>
      </c>
      <c r="AO3" s="20" t="s">
        <v>94</v>
      </c>
      <c r="AP3" s="20" t="s">
        <v>555</v>
      </c>
      <c r="AQ3" s="20" t="s">
        <v>33</v>
      </c>
      <c r="AR3" s="17" t="s">
        <v>34</v>
      </c>
      <c r="AS3" s="17" t="s">
        <v>35</v>
      </c>
      <c r="AT3" s="24" t="s">
        <v>675</v>
      </c>
      <c r="AU3" s="20" t="s">
        <v>37</v>
      </c>
      <c r="AV3" s="24" t="s">
        <v>217</v>
      </c>
      <c r="AW3" s="17" t="s">
        <v>403</v>
      </c>
      <c r="AX3" s="17" t="s">
        <v>490</v>
      </c>
      <c r="AY3" s="17" t="s">
        <v>38</v>
      </c>
      <c r="AZ3" s="17" t="s">
        <v>208</v>
      </c>
      <c r="BA3" s="17" t="s">
        <v>39</v>
      </c>
      <c r="BB3" s="17" t="s">
        <v>404</v>
      </c>
      <c r="BC3" s="17" t="s">
        <v>41</v>
      </c>
      <c r="BD3" s="17" t="s">
        <v>556</v>
      </c>
      <c r="BE3" s="17" t="s">
        <v>42</v>
      </c>
      <c r="BF3" s="17" t="s">
        <v>408</v>
      </c>
      <c r="BG3" s="49" t="s">
        <v>409</v>
      </c>
      <c r="BH3" s="25" t="s">
        <v>903</v>
      </c>
      <c r="BI3" s="25" t="s">
        <v>960</v>
      </c>
      <c r="BJ3" s="25" t="s">
        <v>912</v>
      </c>
      <c r="BK3" s="25" t="s">
        <v>913</v>
      </c>
      <c r="BL3" s="25" t="s">
        <v>917</v>
      </c>
      <c r="BM3" s="25" t="s">
        <v>918</v>
      </c>
      <c r="BN3" s="25" t="s">
        <v>919</v>
      </c>
      <c r="BO3" s="25" t="s">
        <v>920</v>
      </c>
      <c r="BP3" s="25" t="s">
        <v>921</v>
      </c>
      <c r="BQ3" s="25" t="s">
        <v>922</v>
      </c>
      <c r="BR3" s="25" t="s">
        <v>923</v>
      </c>
      <c r="BS3" s="25" t="s">
        <v>276</v>
      </c>
      <c r="BT3" s="25" t="s">
        <v>924</v>
      </c>
      <c r="BU3" s="25" t="s">
        <v>928</v>
      </c>
      <c r="BV3" s="157" t="s">
        <v>961</v>
      </c>
    </row>
    <row r="4" spans="1:74" ht="29.25" x14ac:dyDescent="0.2">
      <c r="A4" t="s">
        <v>364</v>
      </c>
      <c r="B4" t="s">
        <v>441</v>
      </c>
      <c r="C4">
        <v>5.988999999999999</v>
      </c>
      <c r="D4" s="162" t="s">
        <v>901</v>
      </c>
      <c r="J4" t="s">
        <v>900</v>
      </c>
      <c r="M4" t="s">
        <v>900</v>
      </c>
      <c r="P4" t="s">
        <v>900</v>
      </c>
      <c r="T4" t="s">
        <v>900</v>
      </c>
      <c r="U4" t="s">
        <v>900</v>
      </c>
      <c r="Z4" t="s">
        <v>900</v>
      </c>
      <c r="AB4" t="s">
        <v>900</v>
      </c>
      <c r="AE4" t="s">
        <v>900</v>
      </c>
      <c r="AI4" t="s">
        <v>900</v>
      </c>
      <c r="AL4" t="s">
        <v>900</v>
      </c>
      <c r="AS4" t="s">
        <v>900</v>
      </c>
      <c r="AW4" t="s">
        <v>900</v>
      </c>
      <c r="BA4" t="s">
        <v>900</v>
      </c>
      <c r="BF4" t="s">
        <v>900</v>
      </c>
      <c r="BL4" t="s">
        <v>900</v>
      </c>
      <c r="BM4" t="s">
        <v>900</v>
      </c>
    </row>
    <row r="5" spans="1:74" x14ac:dyDescent="0.2">
      <c r="A5" t="s">
        <v>365</v>
      </c>
      <c r="B5">
        <v>30</v>
      </c>
      <c r="C5">
        <v>4.0453999999999999</v>
      </c>
      <c r="D5" s="162" t="s">
        <v>867</v>
      </c>
      <c r="G5" t="s">
        <v>900</v>
      </c>
      <c r="AC5" t="s">
        <v>900</v>
      </c>
      <c r="AD5" t="s">
        <v>900</v>
      </c>
      <c r="AE5" t="s">
        <v>900</v>
      </c>
      <c r="AN5" t="s">
        <v>900</v>
      </c>
      <c r="AO5" t="s">
        <v>900</v>
      </c>
      <c r="AY5" t="s">
        <v>900</v>
      </c>
    </row>
    <row r="6" spans="1:74" x14ac:dyDescent="0.2">
      <c r="A6" t="s">
        <v>447</v>
      </c>
      <c r="B6" t="s">
        <v>859</v>
      </c>
      <c r="C6">
        <v>4.5259500000000008</v>
      </c>
      <c r="D6" s="162" t="s">
        <v>868</v>
      </c>
      <c r="AC6" t="s">
        <v>900</v>
      </c>
      <c r="AD6" t="s">
        <v>900</v>
      </c>
      <c r="AE6" t="s">
        <v>900</v>
      </c>
      <c r="AI6" t="s">
        <v>900</v>
      </c>
      <c r="AO6" t="s">
        <v>900</v>
      </c>
      <c r="AY6" t="s">
        <v>900</v>
      </c>
      <c r="BH6" t="s">
        <v>900</v>
      </c>
    </row>
    <row r="7" spans="1:74" x14ac:dyDescent="0.2">
      <c r="A7" s="162" t="s">
        <v>875</v>
      </c>
      <c r="B7" t="s">
        <v>79</v>
      </c>
      <c r="C7">
        <v>4.3504999999999994</v>
      </c>
      <c r="D7" s="162" t="s">
        <v>866</v>
      </c>
      <c r="G7" t="s">
        <v>900</v>
      </c>
      <c r="H7" t="s">
        <v>900</v>
      </c>
      <c r="K7" t="s">
        <v>900</v>
      </c>
      <c r="U7" t="s">
        <v>900</v>
      </c>
      <c r="V7" t="s">
        <v>900</v>
      </c>
    </row>
    <row r="8" spans="1:74" ht="45" x14ac:dyDescent="0.25">
      <c r="A8" t="s">
        <v>442</v>
      </c>
      <c r="B8" t="s">
        <v>443</v>
      </c>
      <c r="C8">
        <v>6.7122000000000002</v>
      </c>
      <c r="D8" s="162" t="s">
        <v>904</v>
      </c>
      <c r="J8" t="s">
        <v>900</v>
      </c>
      <c r="M8" t="s">
        <v>900</v>
      </c>
      <c r="P8" t="s">
        <v>900</v>
      </c>
      <c r="S8" t="s">
        <v>900</v>
      </c>
      <c r="U8" t="s">
        <v>900</v>
      </c>
      <c r="Y8" t="s">
        <v>900</v>
      </c>
      <c r="Z8" t="s">
        <v>900</v>
      </c>
      <c r="AB8" t="s">
        <v>900</v>
      </c>
      <c r="AE8" t="s">
        <v>900</v>
      </c>
      <c r="AL8" t="s">
        <v>900</v>
      </c>
      <c r="AR8" t="s">
        <v>900</v>
      </c>
      <c r="AS8" t="s">
        <v>900</v>
      </c>
      <c r="AV8" t="s">
        <v>900</v>
      </c>
      <c r="AX8" t="s">
        <v>900</v>
      </c>
      <c r="BA8" t="s">
        <v>900</v>
      </c>
      <c r="BD8" t="s">
        <v>900</v>
      </c>
      <c r="BL8" t="s">
        <v>900</v>
      </c>
      <c r="BM8" t="s">
        <v>900</v>
      </c>
      <c r="BO8" t="s">
        <v>900</v>
      </c>
      <c r="BP8" t="s">
        <v>900</v>
      </c>
      <c r="BQ8" t="s">
        <v>900</v>
      </c>
    </row>
    <row r="9" spans="1:74" x14ac:dyDescent="0.2">
      <c r="A9" t="s">
        <v>53</v>
      </c>
      <c r="B9" t="s">
        <v>90</v>
      </c>
      <c r="C9">
        <v>3.6159999999999997</v>
      </c>
      <c r="D9" s="162" t="s">
        <v>869</v>
      </c>
      <c r="H9" t="s">
        <v>900</v>
      </c>
      <c r="U9" t="s">
        <v>900</v>
      </c>
      <c r="BE9" t="s">
        <v>900</v>
      </c>
      <c r="BK9" t="s">
        <v>900</v>
      </c>
      <c r="BR9" t="s">
        <v>900</v>
      </c>
    </row>
    <row r="10" spans="1:74" ht="15" x14ac:dyDescent="0.25">
      <c r="A10" t="s">
        <v>55</v>
      </c>
      <c r="B10" t="s">
        <v>861</v>
      </c>
      <c r="C10">
        <v>2.2646800000000002</v>
      </c>
      <c r="D10" s="162" t="s">
        <v>905</v>
      </c>
      <c r="I10" t="s">
        <v>900</v>
      </c>
      <c r="N10" t="s">
        <v>900</v>
      </c>
      <c r="AN10" t="s">
        <v>900</v>
      </c>
      <c r="AV10" t="s">
        <v>900</v>
      </c>
      <c r="AY10" t="s">
        <v>900</v>
      </c>
    </row>
    <row r="11" spans="1:74" x14ac:dyDescent="0.2">
      <c r="A11" t="s">
        <v>367</v>
      </c>
      <c r="B11" t="s">
        <v>860</v>
      </c>
      <c r="C11">
        <v>2.7692500000000004</v>
      </c>
      <c r="D11" s="162" t="s">
        <v>870</v>
      </c>
      <c r="G11" t="s">
        <v>900</v>
      </c>
      <c r="N11" t="s">
        <v>900</v>
      </c>
      <c r="AC11" t="s">
        <v>900</v>
      </c>
      <c r="AD11" t="s">
        <v>900</v>
      </c>
      <c r="AJ11" t="s">
        <v>900</v>
      </c>
      <c r="AN11" t="s">
        <v>900</v>
      </c>
      <c r="AO11" t="s">
        <v>900</v>
      </c>
      <c r="AY11" t="s">
        <v>900</v>
      </c>
    </row>
    <row r="12" spans="1:74" x14ac:dyDescent="0.2">
      <c r="A12" t="s">
        <v>56</v>
      </c>
      <c r="B12" t="s">
        <v>444</v>
      </c>
      <c r="C12">
        <v>2.7500000000000004</v>
      </c>
      <c r="D12" s="162" t="s">
        <v>862</v>
      </c>
      <c r="J12" t="s">
        <v>900</v>
      </c>
      <c r="AF12" t="s">
        <v>900</v>
      </c>
      <c r="AT12" t="s">
        <v>900</v>
      </c>
    </row>
    <row r="13" spans="1:74" x14ac:dyDescent="0.2">
      <c r="A13" t="s">
        <v>784</v>
      </c>
      <c r="B13" t="s">
        <v>859</v>
      </c>
      <c r="C13">
        <v>4.5199999999999996</v>
      </c>
      <c r="D13" s="162" t="s">
        <v>865</v>
      </c>
      <c r="G13" t="s">
        <v>900</v>
      </c>
      <c r="U13" t="s">
        <v>900</v>
      </c>
      <c r="AA13" t="s">
        <v>900</v>
      </c>
      <c r="AD13" t="s">
        <v>900</v>
      </c>
      <c r="AE13" t="s">
        <v>900</v>
      </c>
      <c r="AH13" t="s">
        <v>900</v>
      </c>
    </row>
    <row r="14" spans="1:74" x14ac:dyDescent="0.2">
      <c r="A14" t="s">
        <v>789</v>
      </c>
      <c r="B14">
        <v>15</v>
      </c>
      <c r="C14">
        <v>5.4239999999999986</v>
      </c>
      <c r="D14" s="162" t="s">
        <v>863</v>
      </c>
      <c r="G14" t="s">
        <v>900</v>
      </c>
      <c r="X14" t="s">
        <v>900</v>
      </c>
      <c r="AF14" t="s">
        <v>900</v>
      </c>
      <c r="AI14" t="s">
        <v>900</v>
      </c>
    </row>
    <row r="15" spans="1:74" x14ac:dyDescent="0.2">
      <c r="A15" t="s">
        <v>791</v>
      </c>
      <c r="B15">
        <v>12</v>
      </c>
      <c r="C15">
        <v>5.461666666666666</v>
      </c>
      <c r="D15" s="162" t="s">
        <v>204</v>
      </c>
      <c r="G15" t="s">
        <v>900</v>
      </c>
      <c r="X15" t="s">
        <v>900</v>
      </c>
      <c r="AD15" t="s">
        <v>900</v>
      </c>
    </row>
    <row r="16" spans="1:74" x14ac:dyDescent="0.2">
      <c r="A16" t="s">
        <v>793</v>
      </c>
      <c r="B16" t="s">
        <v>77</v>
      </c>
      <c r="C16">
        <v>3.7394500000000002</v>
      </c>
      <c r="D16" s="162" t="s">
        <v>871</v>
      </c>
      <c r="J16" t="s">
        <v>900</v>
      </c>
      <c r="AF16" t="s">
        <v>900</v>
      </c>
      <c r="AI16" t="s">
        <v>900</v>
      </c>
      <c r="AS16" t="s">
        <v>900</v>
      </c>
    </row>
    <row r="17" spans="1:71" ht="15" x14ac:dyDescent="0.25">
      <c r="A17" t="s">
        <v>872</v>
      </c>
      <c r="B17" t="s">
        <v>864</v>
      </c>
      <c r="C17">
        <v>7.6779999999999999</v>
      </c>
      <c r="D17" s="162" t="s">
        <v>907</v>
      </c>
      <c r="AW17" t="s">
        <v>900</v>
      </c>
      <c r="BA17" t="s">
        <v>900</v>
      </c>
      <c r="BH17" t="s">
        <v>900</v>
      </c>
      <c r="BN17" t="s">
        <v>900</v>
      </c>
    </row>
    <row r="18" spans="1:71" x14ac:dyDescent="0.2">
      <c r="A18" t="s">
        <v>873</v>
      </c>
      <c r="B18" t="s">
        <v>142</v>
      </c>
      <c r="C18">
        <v>4.6236666666666668</v>
      </c>
      <c r="D18" s="162" t="s">
        <v>874</v>
      </c>
      <c r="Z18" t="s">
        <v>900</v>
      </c>
      <c r="AD18" t="s">
        <v>900</v>
      </c>
      <c r="AE18" t="s">
        <v>900</v>
      </c>
      <c r="AH18" t="s">
        <v>900</v>
      </c>
      <c r="AI18" t="s">
        <v>900</v>
      </c>
      <c r="AY18" t="s">
        <v>900</v>
      </c>
    </row>
    <row r="19" spans="1:71" ht="28.5" x14ac:dyDescent="0.2">
      <c r="A19" s="352" t="s">
        <v>428</v>
      </c>
      <c r="B19" s="353">
        <v>12</v>
      </c>
      <c r="C19" s="354">
        <v>5.42</v>
      </c>
      <c r="D19" s="355" t="s">
        <v>883</v>
      </c>
      <c r="G19">
        <v>0.7</v>
      </c>
      <c r="AD19">
        <v>0.15</v>
      </c>
      <c r="AI19">
        <v>0.15</v>
      </c>
    </row>
    <row r="20" spans="1:71" ht="29.25" x14ac:dyDescent="0.2">
      <c r="A20" s="352" t="s">
        <v>882</v>
      </c>
      <c r="B20" s="353" t="s">
        <v>48</v>
      </c>
      <c r="C20" s="354">
        <v>4.43</v>
      </c>
      <c r="D20" s="355" t="s">
        <v>884</v>
      </c>
      <c r="G20">
        <v>0.2</v>
      </c>
      <c r="J20">
        <v>0.7</v>
      </c>
      <c r="AI20">
        <v>0.1</v>
      </c>
    </row>
    <row r="21" spans="1:71" ht="28.5" x14ac:dyDescent="0.2">
      <c r="A21" s="352" t="s">
        <v>521</v>
      </c>
      <c r="B21" s="353" t="s">
        <v>859</v>
      </c>
      <c r="C21" s="354">
        <v>4.53</v>
      </c>
      <c r="D21" s="355" t="s">
        <v>885</v>
      </c>
      <c r="AC21">
        <v>0.1</v>
      </c>
      <c r="AF21">
        <v>0.45</v>
      </c>
      <c r="AP21">
        <v>0.35</v>
      </c>
      <c r="AQ21">
        <v>0.1</v>
      </c>
    </row>
    <row r="22" spans="1:71" ht="28.5" x14ac:dyDescent="0.2">
      <c r="A22" s="352" t="s">
        <v>431</v>
      </c>
      <c r="B22" s="353">
        <v>25</v>
      </c>
      <c r="C22" s="354">
        <v>3.75</v>
      </c>
      <c r="D22" s="355" t="s">
        <v>886</v>
      </c>
      <c r="G22">
        <v>0.2</v>
      </c>
      <c r="J22">
        <v>0.57999999999999996</v>
      </c>
      <c r="W22">
        <v>0.02</v>
      </c>
      <c r="AD22">
        <v>0.08</v>
      </c>
      <c r="AI22">
        <v>0.12</v>
      </c>
    </row>
    <row r="23" spans="1:71" ht="30" x14ac:dyDescent="0.2">
      <c r="A23" s="352" t="s">
        <v>734</v>
      </c>
      <c r="B23" s="353">
        <v>25</v>
      </c>
      <c r="C23" s="354">
        <v>4.1900000000000004</v>
      </c>
      <c r="D23" s="355" t="s">
        <v>887</v>
      </c>
      <c r="G23">
        <v>0.12</v>
      </c>
      <c r="W23">
        <v>0.04</v>
      </c>
      <c r="Z23">
        <v>0.04</v>
      </c>
      <c r="AD23">
        <v>0.04</v>
      </c>
      <c r="AE23">
        <v>0.08</v>
      </c>
      <c r="AF23">
        <v>0.08</v>
      </c>
      <c r="AH23">
        <v>0.08</v>
      </c>
      <c r="AI23">
        <v>0.04</v>
      </c>
      <c r="AN23">
        <v>0.22</v>
      </c>
      <c r="AP23">
        <v>0.24</v>
      </c>
      <c r="AV23">
        <v>0.02</v>
      </c>
    </row>
    <row r="24" spans="1:71" ht="28.5" x14ac:dyDescent="0.2">
      <c r="A24" s="352" t="s">
        <v>45</v>
      </c>
      <c r="B24" s="353">
        <v>25</v>
      </c>
      <c r="C24" s="354">
        <v>3.15</v>
      </c>
      <c r="D24" s="355" t="s">
        <v>888</v>
      </c>
      <c r="G24">
        <v>0.2</v>
      </c>
      <c r="J24">
        <v>0.7</v>
      </c>
      <c r="AF24">
        <v>0.1</v>
      </c>
    </row>
    <row r="25" spans="1:71" ht="28.5" x14ac:dyDescent="0.2">
      <c r="A25" s="352" t="s">
        <v>46</v>
      </c>
      <c r="B25" s="353" t="s">
        <v>859</v>
      </c>
      <c r="C25" s="354">
        <v>2.93</v>
      </c>
      <c r="D25" s="355" t="s">
        <v>889</v>
      </c>
      <c r="G25">
        <v>0.2</v>
      </c>
      <c r="J25">
        <v>0.7</v>
      </c>
      <c r="AT25">
        <v>0.1</v>
      </c>
    </row>
    <row r="26" spans="1:71" ht="30" x14ac:dyDescent="0.2">
      <c r="A26" s="352" t="s">
        <v>432</v>
      </c>
      <c r="B26" s="353">
        <v>20</v>
      </c>
      <c r="C26" s="354">
        <v>4.46</v>
      </c>
      <c r="D26" s="355" t="s">
        <v>890</v>
      </c>
      <c r="G26">
        <v>0.3</v>
      </c>
      <c r="W26">
        <v>2.5000000000000001E-2</v>
      </c>
      <c r="Z26">
        <v>2.5000000000000001E-2</v>
      </c>
      <c r="AF26">
        <v>0.2</v>
      </c>
      <c r="AI26">
        <v>0.15</v>
      </c>
      <c r="AN26">
        <v>0.15</v>
      </c>
      <c r="AS26">
        <v>0.15</v>
      </c>
    </row>
    <row r="27" spans="1:71" ht="30" x14ac:dyDescent="0.2">
      <c r="A27" s="352" t="s">
        <v>877</v>
      </c>
      <c r="B27" s="353">
        <v>20</v>
      </c>
      <c r="C27" s="354">
        <v>6.22</v>
      </c>
      <c r="D27" s="355" t="s">
        <v>890</v>
      </c>
      <c r="G27">
        <v>0.3</v>
      </c>
      <c r="W27">
        <v>2.5000000000000001E-2</v>
      </c>
      <c r="Z27">
        <v>2.5000000000000001E-2</v>
      </c>
      <c r="AF27">
        <v>0.2</v>
      </c>
      <c r="AI27">
        <v>0.15</v>
      </c>
      <c r="AN27">
        <v>0.15</v>
      </c>
      <c r="AS27">
        <v>0.15</v>
      </c>
    </row>
    <row r="28" spans="1:71" ht="28.5" x14ac:dyDescent="0.2">
      <c r="A28" s="352" t="s">
        <v>739</v>
      </c>
      <c r="B28" s="353">
        <v>23</v>
      </c>
      <c r="C28" s="354">
        <v>3.83</v>
      </c>
      <c r="D28" s="355" t="s">
        <v>908</v>
      </c>
      <c r="AE28">
        <v>0.13</v>
      </c>
      <c r="AG28">
        <v>0.13</v>
      </c>
      <c r="AI28">
        <v>0.13</v>
      </c>
      <c r="AP28">
        <v>0.28000000000000003</v>
      </c>
      <c r="BS28">
        <v>0.33</v>
      </c>
    </row>
    <row r="29" spans="1:71" ht="30.75" x14ac:dyDescent="0.2">
      <c r="A29" s="352" t="s">
        <v>81</v>
      </c>
      <c r="B29" s="353">
        <v>30</v>
      </c>
      <c r="C29" s="354">
        <v>5.3</v>
      </c>
      <c r="D29" s="355" t="s">
        <v>909</v>
      </c>
      <c r="J29">
        <v>0.2</v>
      </c>
      <c r="U29">
        <v>0.26600000000000001</v>
      </c>
      <c r="AF29">
        <v>0.1</v>
      </c>
      <c r="AI29">
        <v>6.7000000000000004E-2</v>
      </c>
      <c r="BA29">
        <v>6.7000000000000004E-2</v>
      </c>
      <c r="BE29">
        <v>0.1</v>
      </c>
      <c r="BI29">
        <v>0.2</v>
      </c>
    </row>
    <row r="30" spans="1:71" ht="30" x14ac:dyDescent="0.2">
      <c r="A30" s="352" t="s">
        <v>878</v>
      </c>
      <c r="B30" s="353">
        <v>30</v>
      </c>
      <c r="C30" s="354">
        <v>7.46</v>
      </c>
      <c r="D30" s="355" t="s">
        <v>891</v>
      </c>
      <c r="J30">
        <v>0.2</v>
      </c>
      <c r="U30">
        <v>0.26600000000000001</v>
      </c>
      <c r="AF30">
        <v>0.1</v>
      </c>
      <c r="AI30">
        <v>6.7000000000000004E-2</v>
      </c>
      <c r="BA30">
        <v>6.7000000000000004E-2</v>
      </c>
      <c r="BE30">
        <v>0.1</v>
      </c>
      <c r="BI30">
        <v>0.2</v>
      </c>
    </row>
    <row r="31" spans="1:71" ht="31.5" x14ac:dyDescent="0.2">
      <c r="A31" s="352" t="s">
        <v>744</v>
      </c>
      <c r="B31" s="353">
        <v>100</v>
      </c>
      <c r="C31" s="354">
        <v>2.21</v>
      </c>
      <c r="D31" s="355" t="s">
        <v>911</v>
      </c>
      <c r="F31">
        <v>0.15</v>
      </c>
      <c r="N31">
        <v>0.05</v>
      </c>
      <c r="AN31">
        <v>0.2</v>
      </c>
      <c r="AP31">
        <v>0.1</v>
      </c>
      <c r="BJ31">
        <v>0.45</v>
      </c>
      <c r="BK31">
        <v>0.05</v>
      </c>
    </row>
    <row r="32" spans="1:71" ht="30" x14ac:dyDescent="0.2">
      <c r="A32" s="352" t="s">
        <v>879</v>
      </c>
      <c r="B32" s="353">
        <v>100</v>
      </c>
      <c r="C32" s="354">
        <v>2.83</v>
      </c>
      <c r="D32" s="355" t="s">
        <v>892</v>
      </c>
      <c r="F32">
        <v>0.05</v>
      </c>
      <c r="N32">
        <v>0.1</v>
      </c>
      <c r="AM32">
        <v>0.2</v>
      </c>
      <c r="AN32">
        <v>0.2</v>
      </c>
      <c r="AP32">
        <v>0.1</v>
      </c>
      <c r="BJ32">
        <v>0.35</v>
      </c>
    </row>
    <row r="33" spans="1:73" ht="30" x14ac:dyDescent="0.2">
      <c r="A33" s="352" t="s">
        <v>82</v>
      </c>
      <c r="B33" s="353">
        <v>20</v>
      </c>
      <c r="C33" s="354">
        <v>9.11</v>
      </c>
      <c r="D33" s="355" t="s">
        <v>914</v>
      </c>
      <c r="M33">
        <v>0.11</v>
      </c>
      <c r="U33">
        <v>0.28999999999999998</v>
      </c>
      <c r="Z33">
        <v>0.02</v>
      </c>
      <c r="AB33">
        <v>0.26</v>
      </c>
      <c r="AI33">
        <v>0.05</v>
      </c>
      <c r="AL33">
        <v>0.26</v>
      </c>
      <c r="BA33">
        <v>0.01</v>
      </c>
    </row>
    <row r="34" spans="1:73" ht="30" x14ac:dyDescent="0.2">
      <c r="A34" s="352" t="s">
        <v>83</v>
      </c>
      <c r="B34" s="353">
        <v>20</v>
      </c>
      <c r="C34" s="354">
        <v>8.09</v>
      </c>
      <c r="D34" s="355" t="s">
        <v>893</v>
      </c>
      <c r="M34">
        <v>0.2</v>
      </c>
      <c r="T34">
        <v>0.05</v>
      </c>
      <c r="U34">
        <v>0.245</v>
      </c>
      <c r="Y34">
        <v>0.02</v>
      </c>
      <c r="Z34">
        <v>0.02</v>
      </c>
      <c r="AB34">
        <v>0.15</v>
      </c>
      <c r="AL34">
        <v>0.15</v>
      </c>
      <c r="AS34">
        <v>1.4999999999999999E-2</v>
      </c>
      <c r="BA34">
        <v>0.15</v>
      </c>
    </row>
    <row r="35" spans="1:73" ht="45.75" x14ac:dyDescent="0.2">
      <c r="A35" s="352" t="s">
        <v>84</v>
      </c>
      <c r="B35" s="353">
        <v>30</v>
      </c>
      <c r="C35" s="354">
        <v>8.8000000000000007</v>
      </c>
      <c r="D35" s="355" t="s">
        <v>916</v>
      </c>
      <c r="J35">
        <v>0.1</v>
      </c>
      <c r="O35">
        <v>6.7000000000000004E-2</v>
      </c>
      <c r="T35">
        <v>3.3000000000000002E-2</v>
      </c>
      <c r="U35">
        <v>0.11700000000000001</v>
      </c>
      <c r="W35">
        <v>6.7000000000000004E-2</v>
      </c>
      <c r="Y35">
        <v>6.6000000000000003E-2</v>
      </c>
      <c r="Z35">
        <v>1.4999999999999999E-2</v>
      </c>
      <c r="AB35">
        <v>0.1</v>
      </c>
      <c r="AI35">
        <v>6.6000000000000003E-2</v>
      </c>
      <c r="AK35">
        <v>3.4000000000000002E-2</v>
      </c>
      <c r="AL35">
        <v>0.1</v>
      </c>
      <c r="AS35">
        <v>1.4999999999999999E-2</v>
      </c>
      <c r="AV35">
        <v>3.4000000000000002E-2</v>
      </c>
      <c r="BA35">
        <v>8.4000000000000005E-2</v>
      </c>
      <c r="BL35">
        <v>3.4000000000000002E-2</v>
      </c>
      <c r="BM35">
        <v>3.4000000000000002E-2</v>
      </c>
      <c r="BT35">
        <v>3.4000000000000002E-2</v>
      </c>
    </row>
    <row r="36" spans="1:73" ht="45" x14ac:dyDescent="0.2">
      <c r="A36" s="352" t="s">
        <v>361</v>
      </c>
      <c r="B36" s="353">
        <v>20</v>
      </c>
      <c r="C36" s="354">
        <v>5.89</v>
      </c>
      <c r="D36" s="355" t="s">
        <v>894</v>
      </c>
      <c r="G36">
        <v>0.04</v>
      </c>
      <c r="J36">
        <v>0.25</v>
      </c>
      <c r="O36">
        <v>0.01</v>
      </c>
      <c r="U36">
        <v>0.05</v>
      </c>
      <c r="Y36">
        <v>0.01</v>
      </c>
      <c r="Z36">
        <v>5.0000000000000001E-3</v>
      </c>
      <c r="AB36">
        <v>0.05</v>
      </c>
      <c r="AI36">
        <v>0.02</v>
      </c>
      <c r="AK36">
        <v>5.0000000000000001E-3</v>
      </c>
      <c r="AL36">
        <v>0.09</v>
      </c>
      <c r="AR36">
        <v>0.06</v>
      </c>
      <c r="AU36">
        <v>0.11</v>
      </c>
      <c r="BE36">
        <v>0.16</v>
      </c>
      <c r="BI36">
        <v>1.4999999999999999E-2</v>
      </c>
      <c r="BL36">
        <v>5.0000000000000001E-3</v>
      </c>
      <c r="BS36">
        <v>0.115</v>
      </c>
      <c r="BT36">
        <v>5.0000000000000001E-3</v>
      </c>
    </row>
    <row r="37" spans="1:73" ht="15" x14ac:dyDescent="0.2">
      <c r="A37" s="352" t="s">
        <v>85</v>
      </c>
      <c r="B37" s="353">
        <v>10</v>
      </c>
      <c r="C37" s="354">
        <v>9.1199999999999992</v>
      </c>
      <c r="D37" s="355" t="s">
        <v>895</v>
      </c>
      <c r="G37">
        <v>0.3</v>
      </c>
      <c r="U37">
        <v>0.3</v>
      </c>
      <c r="AH37">
        <v>0.25</v>
      </c>
      <c r="BA37">
        <v>0.15</v>
      </c>
    </row>
    <row r="38" spans="1:73" ht="15" x14ac:dyDescent="0.2">
      <c r="A38" s="352" t="s">
        <v>86</v>
      </c>
      <c r="B38" s="353">
        <v>10</v>
      </c>
      <c r="C38" s="354">
        <v>4.0999999999999996</v>
      </c>
      <c r="D38" s="355" t="s">
        <v>896</v>
      </c>
      <c r="L38">
        <v>0.45</v>
      </c>
      <c r="V38">
        <v>0.45</v>
      </c>
      <c r="BA38">
        <v>0.1</v>
      </c>
    </row>
    <row r="39" spans="1:73" ht="30" x14ac:dyDescent="0.2">
      <c r="A39" s="352" t="s">
        <v>435</v>
      </c>
      <c r="B39" s="353">
        <v>10</v>
      </c>
      <c r="C39" s="354">
        <v>3.63</v>
      </c>
      <c r="D39" s="355" t="s">
        <v>880</v>
      </c>
      <c r="G39">
        <v>0.2</v>
      </c>
      <c r="AD39">
        <v>0.1</v>
      </c>
      <c r="AE39">
        <v>0.1</v>
      </c>
      <c r="AH39">
        <v>0.2</v>
      </c>
      <c r="AN39">
        <v>0.4</v>
      </c>
    </row>
    <row r="40" spans="1:73" ht="42.75" x14ac:dyDescent="0.2">
      <c r="A40" s="352" t="s">
        <v>51</v>
      </c>
      <c r="B40" s="353">
        <v>25</v>
      </c>
      <c r="C40" s="354">
        <v>5.49</v>
      </c>
      <c r="D40" s="355" t="s">
        <v>897</v>
      </c>
      <c r="G40" t="s">
        <v>900</v>
      </c>
      <c r="H40" t="s">
        <v>900</v>
      </c>
      <c r="K40" t="s">
        <v>900</v>
      </c>
      <c r="AH40" t="s">
        <v>900</v>
      </c>
    </row>
    <row r="41" spans="1:73" ht="28.5" x14ac:dyDescent="0.2">
      <c r="A41" s="352" t="s">
        <v>57</v>
      </c>
      <c r="B41" s="353">
        <v>60</v>
      </c>
      <c r="C41" s="354">
        <v>3.77</v>
      </c>
      <c r="D41" s="356" t="s">
        <v>898</v>
      </c>
      <c r="H41" t="s">
        <v>900</v>
      </c>
      <c r="U41" t="s">
        <v>900</v>
      </c>
      <c r="V41" t="s">
        <v>900</v>
      </c>
      <c r="BE41" t="s">
        <v>900</v>
      </c>
    </row>
    <row r="42" spans="1:73" ht="29.25" x14ac:dyDescent="0.2">
      <c r="A42" s="352" t="s">
        <v>881</v>
      </c>
      <c r="B42" s="353">
        <v>60</v>
      </c>
      <c r="C42" s="354">
        <v>4.2</v>
      </c>
      <c r="D42" s="357"/>
      <c r="H42" t="s">
        <v>900</v>
      </c>
      <c r="U42" t="s">
        <v>900</v>
      </c>
      <c r="V42" t="s">
        <v>900</v>
      </c>
      <c r="BE42" t="s">
        <v>900</v>
      </c>
    </row>
    <row r="43" spans="1:73" x14ac:dyDescent="0.2">
      <c r="A43" t="s">
        <v>414</v>
      </c>
      <c r="B43">
        <v>20</v>
      </c>
      <c r="C43">
        <v>3.8</v>
      </c>
      <c r="D43" t="s">
        <v>415</v>
      </c>
      <c r="K43" t="s">
        <v>900</v>
      </c>
      <c r="V43" t="s">
        <v>900</v>
      </c>
      <c r="BA43" t="s">
        <v>900</v>
      </c>
    </row>
    <row r="44" spans="1:73" x14ac:dyDescent="0.2">
      <c r="A44" t="s">
        <v>355</v>
      </c>
      <c r="B44">
        <v>20</v>
      </c>
      <c r="C44">
        <v>3.8</v>
      </c>
      <c r="D44" t="s">
        <v>416</v>
      </c>
      <c r="J44" t="s">
        <v>900</v>
      </c>
      <c r="W44" t="s">
        <v>900</v>
      </c>
      <c r="AD44" t="s">
        <v>900</v>
      </c>
      <c r="AF44" t="s">
        <v>900</v>
      </c>
      <c r="AI44" t="s">
        <v>900</v>
      </c>
      <c r="AP44" t="s">
        <v>900</v>
      </c>
      <c r="AQ44" t="s">
        <v>900</v>
      </c>
      <c r="BD44" t="s">
        <v>900</v>
      </c>
    </row>
    <row r="45" spans="1:73" x14ac:dyDescent="0.2">
      <c r="A45" t="s">
        <v>356</v>
      </c>
      <c r="B45">
        <v>15</v>
      </c>
      <c r="C45">
        <v>5.59</v>
      </c>
      <c r="D45" t="s">
        <v>417</v>
      </c>
      <c r="G45" t="s">
        <v>900</v>
      </c>
      <c r="AG45" t="s">
        <v>900</v>
      </c>
      <c r="AH45" t="s">
        <v>900</v>
      </c>
      <c r="AK45" t="s">
        <v>900</v>
      </c>
      <c r="AP45" t="s">
        <v>900</v>
      </c>
      <c r="AT45" t="s">
        <v>900</v>
      </c>
      <c r="BU45" t="s">
        <v>900</v>
      </c>
    </row>
    <row r="46" spans="1:73" x14ac:dyDescent="0.2">
      <c r="A46" t="s">
        <v>723</v>
      </c>
      <c r="B46" t="s">
        <v>925</v>
      </c>
      <c r="C46">
        <v>3.58</v>
      </c>
      <c r="D46" t="s">
        <v>418</v>
      </c>
      <c r="J46" t="s">
        <v>900</v>
      </c>
      <c r="U46" t="s">
        <v>900</v>
      </c>
      <c r="W46" t="s">
        <v>900</v>
      </c>
      <c r="AC46" t="s">
        <v>900</v>
      </c>
      <c r="AF46" t="s">
        <v>900</v>
      </c>
      <c r="AI46" t="s">
        <v>900</v>
      </c>
      <c r="AS46" t="s">
        <v>900</v>
      </c>
    </row>
    <row r="47" spans="1:73" x14ac:dyDescent="0.2">
      <c r="A47" t="s">
        <v>724</v>
      </c>
      <c r="B47">
        <v>14</v>
      </c>
      <c r="C47">
        <v>3.8</v>
      </c>
      <c r="D47" t="s">
        <v>419</v>
      </c>
      <c r="G47" t="s">
        <v>900</v>
      </c>
      <c r="J47" t="s">
        <v>900</v>
      </c>
      <c r="W47" t="s">
        <v>900</v>
      </c>
      <c r="AD47" t="s">
        <v>900</v>
      </c>
      <c r="AI47" t="s">
        <v>900</v>
      </c>
      <c r="AS47" t="s">
        <v>900</v>
      </c>
    </row>
    <row r="48" spans="1:73" x14ac:dyDescent="0.2">
      <c r="A48" t="s">
        <v>725</v>
      </c>
      <c r="B48">
        <v>9</v>
      </c>
      <c r="C48">
        <v>4.5</v>
      </c>
      <c r="D48" t="s">
        <v>420</v>
      </c>
      <c r="G48" t="s">
        <v>900</v>
      </c>
      <c r="AD48" t="s">
        <v>900</v>
      </c>
      <c r="AG48" t="s">
        <v>900</v>
      </c>
      <c r="AI48" t="s">
        <v>900</v>
      </c>
      <c r="AT48" t="s">
        <v>900</v>
      </c>
    </row>
    <row r="49" spans="1:67" x14ac:dyDescent="0.2">
      <c r="A49" t="s">
        <v>726</v>
      </c>
      <c r="B49">
        <v>16</v>
      </c>
      <c r="C49">
        <v>3.37</v>
      </c>
      <c r="D49" t="s">
        <v>421</v>
      </c>
      <c r="J49" t="s">
        <v>900</v>
      </c>
      <c r="W49" t="s">
        <v>900</v>
      </c>
      <c r="Z49" t="s">
        <v>900</v>
      </c>
      <c r="AF49" t="s">
        <v>900</v>
      </c>
      <c r="AI49" t="s">
        <v>900</v>
      </c>
    </row>
    <row r="50" spans="1:67" x14ac:dyDescent="0.2">
      <c r="A50" t="s">
        <v>727</v>
      </c>
      <c r="B50" t="s">
        <v>926</v>
      </c>
      <c r="C50">
        <v>4.3499999999999996</v>
      </c>
      <c r="D50" t="s">
        <v>422</v>
      </c>
      <c r="G50" t="s">
        <v>900</v>
      </c>
      <c r="U50" t="s">
        <v>900</v>
      </c>
      <c r="AD50" t="s">
        <v>900</v>
      </c>
      <c r="AF50" t="s">
        <v>900</v>
      </c>
      <c r="AI50" t="s">
        <v>900</v>
      </c>
    </row>
    <row r="51" spans="1:67" x14ac:dyDescent="0.2">
      <c r="A51" t="s">
        <v>423</v>
      </c>
      <c r="B51" t="s">
        <v>927</v>
      </c>
      <c r="C51">
        <v>4.49</v>
      </c>
      <c r="D51" t="s">
        <v>518</v>
      </c>
      <c r="G51" t="s">
        <v>900</v>
      </c>
      <c r="AD51" t="s">
        <v>900</v>
      </c>
      <c r="AI51" t="s">
        <v>900</v>
      </c>
    </row>
    <row r="52" spans="1:67" x14ac:dyDescent="0.2">
      <c r="A52" t="s">
        <v>424</v>
      </c>
      <c r="B52" t="s">
        <v>925</v>
      </c>
      <c r="C52">
        <v>3.5</v>
      </c>
      <c r="D52" t="s">
        <v>519</v>
      </c>
      <c r="J52" t="s">
        <v>900</v>
      </c>
      <c r="W52" t="s">
        <v>900</v>
      </c>
      <c r="AC52" t="s">
        <v>900</v>
      </c>
      <c r="AD52" t="s">
        <v>900</v>
      </c>
      <c r="AF52" t="s">
        <v>900</v>
      </c>
      <c r="AI52" t="s">
        <v>900</v>
      </c>
    </row>
    <row r="53" spans="1:67" x14ac:dyDescent="0.2">
      <c r="A53" t="s">
        <v>729</v>
      </c>
      <c r="B53" t="s">
        <v>864</v>
      </c>
      <c r="C53">
        <v>4.38</v>
      </c>
      <c r="D53" t="s">
        <v>730</v>
      </c>
      <c r="G53" t="s">
        <v>900</v>
      </c>
      <c r="U53" t="s">
        <v>900</v>
      </c>
      <c r="W53" t="s">
        <v>900</v>
      </c>
      <c r="X53" t="s">
        <v>900</v>
      </c>
      <c r="AD53" t="s">
        <v>900</v>
      </c>
      <c r="AF53" t="s">
        <v>900</v>
      </c>
    </row>
    <row r="54" spans="1:67" x14ac:dyDescent="0.2">
      <c r="A54" t="s">
        <v>425</v>
      </c>
      <c r="B54">
        <v>8</v>
      </c>
      <c r="C54">
        <v>4</v>
      </c>
      <c r="D54" t="s">
        <v>520</v>
      </c>
      <c r="G54" t="s">
        <v>900</v>
      </c>
      <c r="U54" t="s">
        <v>900</v>
      </c>
      <c r="AD54" t="s">
        <v>900</v>
      </c>
      <c r="AE54" t="s">
        <v>900</v>
      </c>
    </row>
    <row r="55" spans="1:67" x14ac:dyDescent="0.2">
      <c r="A55" t="s">
        <v>706</v>
      </c>
      <c r="B55">
        <v>23</v>
      </c>
      <c r="C55">
        <v>3.32</v>
      </c>
      <c r="D55" s="162" t="s">
        <v>505</v>
      </c>
      <c r="E55" t="s">
        <v>900</v>
      </c>
      <c r="G55" t="s">
        <v>900</v>
      </c>
      <c r="N55" t="s">
        <v>900</v>
      </c>
      <c r="S55" t="s">
        <v>900</v>
      </c>
      <c r="AD55" t="s">
        <v>900</v>
      </c>
      <c r="AE55" t="s">
        <v>900</v>
      </c>
      <c r="AN55" t="s">
        <v>900</v>
      </c>
    </row>
    <row r="56" spans="1:67" ht="28.5" x14ac:dyDescent="0.2">
      <c r="A56" t="s">
        <v>506</v>
      </c>
      <c r="B56">
        <v>23</v>
      </c>
      <c r="C56">
        <v>3.51</v>
      </c>
      <c r="D56" s="162" t="s">
        <v>707</v>
      </c>
      <c r="E56" t="s">
        <v>900</v>
      </c>
      <c r="Q56" t="s">
        <v>900</v>
      </c>
      <c r="U56" t="s">
        <v>900</v>
      </c>
      <c r="Z56" t="s">
        <v>900</v>
      </c>
      <c r="AC56" t="s">
        <v>900</v>
      </c>
      <c r="AE56" t="s">
        <v>900</v>
      </c>
      <c r="AP56" t="s">
        <v>900</v>
      </c>
      <c r="BE56" t="s">
        <v>900</v>
      </c>
      <c r="BO56" t="s">
        <v>900</v>
      </c>
    </row>
    <row r="57" spans="1:67" x14ac:dyDescent="0.2">
      <c r="A57" t="s">
        <v>511</v>
      </c>
      <c r="B57">
        <v>28</v>
      </c>
      <c r="C57">
        <v>3.36</v>
      </c>
      <c r="D57" s="162" t="s">
        <v>708</v>
      </c>
      <c r="S57" t="s">
        <v>900</v>
      </c>
      <c r="AD57" t="s">
        <v>900</v>
      </c>
      <c r="AE57" t="s">
        <v>900</v>
      </c>
      <c r="AI57" t="s">
        <v>900</v>
      </c>
      <c r="AP57" t="s">
        <v>900</v>
      </c>
      <c r="AV57" t="s">
        <v>900</v>
      </c>
    </row>
    <row r="58" spans="1:67" ht="28.5" x14ac:dyDescent="0.2">
      <c r="A58" t="s">
        <v>709</v>
      </c>
      <c r="B58">
        <v>23</v>
      </c>
      <c r="C58">
        <v>3.27</v>
      </c>
      <c r="D58" s="162" t="s">
        <v>710</v>
      </c>
      <c r="J58" t="s">
        <v>900</v>
      </c>
      <c r="Z58" t="s">
        <v>900</v>
      </c>
      <c r="AC58" t="s">
        <v>900</v>
      </c>
      <c r="AD58" t="s">
        <v>900</v>
      </c>
      <c r="AE58" t="s">
        <v>900</v>
      </c>
      <c r="AI58" t="s">
        <v>900</v>
      </c>
      <c r="AP58" t="s">
        <v>900</v>
      </c>
      <c r="AS58" t="s">
        <v>900</v>
      </c>
      <c r="AV58" t="s">
        <v>900</v>
      </c>
    </row>
    <row r="59" spans="1:67" ht="28.5" x14ac:dyDescent="0.2">
      <c r="A59" t="s">
        <v>349</v>
      </c>
      <c r="B59">
        <v>25</v>
      </c>
      <c r="C59">
        <v>3.31</v>
      </c>
      <c r="D59" s="162" t="s">
        <v>711</v>
      </c>
      <c r="E59" t="s">
        <v>900</v>
      </c>
      <c r="G59" t="s">
        <v>900</v>
      </c>
      <c r="N59" t="s">
        <v>900</v>
      </c>
      <c r="S59" t="s">
        <v>900</v>
      </c>
      <c r="Z59" t="s">
        <v>900</v>
      </c>
      <c r="AC59" t="s">
        <v>900</v>
      </c>
      <c r="AD59" t="s">
        <v>900</v>
      </c>
      <c r="AE59" t="s">
        <v>900</v>
      </c>
      <c r="AI59" t="s">
        <v>900</v>
      </c>
      <c r="AN59" t="s">
        <v>900</v>
      </c>
      <c r="AP59" t="s">
        <v>900</v>
      </c>
      <c r="AV59" t="s">
        <v>900</v>
      </c>
    </row>
    <row r="60" spans="1:67" ht="42.75" x14ac:dyDescent="0.2">
      <c r="A60" t="s">
        <v>507</v>
      </c>
      <c r="B60">
        <v>33</v>
      </c>
      <c r="C60">
        <v>3.39</v>
      </c>
      <c r="D60" s="162" t="s">
        <v>352</v>
      </c>
      <c r="E60" t="s">
        <v>900</v>
      </c>
      <c r="G60" t="s">
        <v>900</v>
      </c>
      <c r="N60" t="s">
        <v>900</v>
      </c>
      <c r="U60" t="s">
        <v>900</v>
      </c>
      <c r="AC60" t="s">
        <v>900</v>
      </c>
      <c r="AD60" t="s">
        <v>900</v>
      </c>
      <c r="AE60" t="s">
        <v>900</v>
      </c>
      <c r="AH60" t="s">
        <v>900</v>
      </c>
      <c r="AI60" t="s">
        <v>900</v>
      </c>
      <c r="AL60" t="s">
        <v>900</v>
      </c>
      <c r="AN60" t="s">
        <v>900</v>
      </c>
      <c r="AR60" t="s">
        <v>900</v>
      </c>
      <c r="AV60" t="s">
        <v>900</v>
      </c>
      <c r="AY60" t="s">
        <v>900</v>
      </c>
      <c r="BA60" t="s">
        <v>900</v>
      </c>
      <c r="BE60" t="s">
        <v>900</v>
      </c>
      <c r="BI60" t="s">
        <v>900</v>
      </c>
    </row>
    <row r="61" spans="1:67" ht="28.5" x14ac:dyDescent="0.2">
      <c r="A61" t="s">
        <v>350</v>
      </c>
      <c r="B61">
        <v>33</v>
      </c>
      <c r="C61">
        <v>3.66</v>
      </c>
      <c r="D61" s="162" t="s">
        <v>351</v>
      </c>
      <c r="E61" t="s">
        <v>900</v>
      </c>
      <c r="G61" t="s">
        <v>900</v>
      </c>
      <c r="N61" t="s">
        <v>900</v>
      </c>
      <c r="AC61" t="s">
        <v>900</v>
      </c>
      <c r="AD61" t="s">
        <v>900</v>
      </c>
      <c r="AE61" t="s">
        <v>900</v>
      </c>
      <c r="AI61" t="s">
        <v>900</v>
      </c>
      <c r="AN61" t="s">
        <v>900</v>
      </c>
      <c r="AP61" t="s">
        <v>900</v>
      </c>
      <c r="BI61" t="s">
        <v>900</v>
      </c>
    </row>
    <row r="62" spans="1:67" x14ac:dyDescent="0.2">
      <c r="A62" t="s">
        <v>508</v>
      </c>
      <c r="B62">
        <v>43</v>
      </c>
      <c r="C62">
        <v>3.07</v>
      </c>
      <c r="D62" s="162" t="s">
        <v>353</v>
      </c>
      <c r="G62" t="s">
        <v>900</v>
      </c>
      <c r="I62" t="s">
        <v>900</v>
      </c>
      <c r="N62" t="s">
        <v>900</v>
      </c>
      <c r="AD62" t="s">
        <v>900</v>
      </c>
      <c r="AE62" t="s">
        <v>900</v>
      </c>
      <c r="AI62" t="s">
        <v>900</v>
      </c>
      <c r="AN62" t="s">
        <v>900</v>
      </c>
      <c r="AP62" t="s">
        <v>900</v>
      </c>
      <c r="BI62" t="s">
        <v>900</v>
      </c>
    </row>
    <row r="63" spans="1:67" x14ac:dyDescent="0.2">
      <c r="A63" t="s">
        <v>712</v>
      </c>
      <c r="B63">
        <v>35</v>
      </c>
      <c r="C63">
        <v>3.11</v>
      </c>
      <c r="D63" s="162" t="s">
        <v>713</v>
      </c>
      <c r="G63" t="s">
        <v>900</v>
      </c>
      <c r="N63" t="s">
        <v>900</v>
      </c>
      <c r="AD63" t="s">
        <v>900</v>
      </c>
      <c r="AE63" t="s">
        <v>900</v>
      </c>
      <c r="AH63" t="s">
        <v>900</v>
      </c>
      <c r="AN63" t="s">
        <v>900</v>
      </c>
      <c r="AP63" t="s">
        <v>900</v>
      </c>
      <c r="BI63" t="s">
        <v>900</v>
      </c>
    </row>
    <row r="64" spans="1:67" x14ac:dyDescent="0.2">
      <c r="A64" t="s">
        <v>512</v>
      </c>
      <c r="B64">
        <v>55</v>
      </c>
      <c r="C64">
        <v>3</v>
      </c>
      <c r="D64" s="162" t="s">
        <v>354</v>
      </c>
      <c r="G64" t="s">
        <v>900</v>
      </c>
      <c r="I64" t="s">
        <v>900</v>
      </c>
      <c r="N64" t="s">
        <v>900</v>
      </c>
      <c r="AD64" t="s">
        <v>900</v>
      </c>
      <c r="AE64" t="s">
        <v>900</v>
      </c>
      <c r="AH64" t="s">
        <v>900</v>
      </c>
      <c r="AN64" t="s">
        <v>900</v>
      </c>
      <c r="AP64" t="s">
        <v>900</v>
      </c>
      <c r="BI64" t="s">
        <v>900</v>
      </c>
    </row>
    <row r="65" spans="1:74" ht="28.5" x14ac:dyDescent="0.2">
      <c r="A65" t="s">
        <v>509</v>
      </c>
      <c r="B65">
        <v>45</v>
      </c>
      <c r="C65">
        <v>3.25</v>
      </c>
      <c r="D65" s="162" t="s">
        <v>510</v>
      </c>
      <c r="G65" t="s">
        <v>900</v>
      </c>
      <c r="N65" t="s">
        <v>900</v>
      </c>
      <c r="AD65" t="s">
        <v>900</v>
      </c>
      <c r="AE65" t="s">
        <v>900</v>
      </c>
      <c r="AI65" t="s">
        <v>900</v>
      </c>
      <c r="AN65" t="s">
        <v>900</v>
      </c>
      <c r="AV65" t="s">
        <v>900</v>
      </c>
      <c r="AY65" t="s">
        <v>900</v>
      </c>
      <c r="BI65" t="s">
        <v>900</v>
      </c>
    </row>
    <row r="66" spans="1:74" x14ac:dyDescent="0.2">
      <c r="A66" t="s">
        <v>714</v>
      </c>
      <c r="B66">
        <v>55</v>
      </c>
      <c r="C66">
        <v>3.27</v>
      </c>
      <c r="D66" s="162" t="s">
        <v>715</v>
      </c>
      <c r="G66" t="s">
        <v>900</v>
      </c>
      <c r="I66" t="s">
        <v>900</v>
      </c>
      <c r="N66" t="s">
        <v>900</v>
      </c>
      <c r="AD66" t="s">
        <v>900</v>
      </c>
      <c r="AF66" t="s">
        <v>900</v>
      </c>
      <c r="AH66" t="s">
        <v>900</v>
      </c>
      <c r="AN66" t="s">
        <v>900</v>
      </c>
    </row>
    <row r="67" spans="1:74" x14ac:dyDescent="0.2">
      <c r="A67" t="s">
        <v>716</v>
      </c>
      <c r="B67">
        <v>40</v>
      </c>
      <c r="C67">
        <v>4.0999999999999996</v>
      </c>
      <c r="D67" s="162" t="s">
        <v>513</v>
      </c>
      <c r="H67" t="s">
        <v>900</v>
      </c>
      <c r="U67" t="s">
        <v>900</v>
      </c>
      <c r="V67" t="s">
        <v>900</v>
      </c>
      <c r="AL67" t="s">
        <v>900</v>
      </c>
      <c r="AR67" t="s">
        <v>900</v>
      </c>
      <c r="BE67" t="s">
        <v>900</v>
      </c>
    </row>
    <row r="68" spans="1:74" x14ac:dyDescent="0.2">
      <c r="A68" t="s">
        <v>929</v>
      </c>
      <c r="B68">
        <v>25</v>
      </c>
      <c r="C68">
        <v>3.85</v>
      </c>
      <c r="D68" s="162" t="s">
        <v>514</v>
      </c>
      <c r="J68" t="s">
        <v>900</v>
      </c>
      <c r="Z68" t="s">
        <v>900</v>
      </c>
      <c r="AE68" t="s">
        <v>900</v>
      </c>
      <c r="AF68" t="s">
        <v>900</v>
      </c>
      <c r="AI68" t="s">
        <v>900</v>
      </c>
      <c r="AP68" t="s">
        <v>900</v>
      </c>
      <c r="AS68" t="s">
        <v>900</v>
      </c>
      <c r="AV68" t="s">
        <v>900</v>
      </c>
      <c r="AY68" t="s">
        <v>900</v>
      </c>
    </row>
    <row r="69" spans="1:74" x14ac:dyDescent="0.2">
      <c r="A69" t="s">
        <v>930</v>
      </c>
      <c r="B69">
        <v>35</v>
      </c>
      <c r="C69">
        <v>4.16</v>
      </c>
      <c r="D69" s="162" t="s">
        <v>515</v>
      </c>
      <c r="AE69" t="s">
        <v>900</v>
      </c>
      <c r="AI69" t="s">
        <v>900</v>
      </c>
      <c r="AP69" t="s">
        <v>900</v>
      </c>
      <c r="AV69" t="s">
        <v>900</v>
      </c>
      <c r="AY69" t="s">
        <v>900</v>
      </c>
    </row>
    <row r="70" spans="1:74" x14ac:dyDescent="0.2">
      <c r="A70" t="s">
        <v>931</v>
      </c>
      <c r="B70">
        <v>45</v>
      </c>
      <c r="C70">
        <v>3.6</v>
      </c>
      <c r="D70" s="162" t="s">
        <v>516</v>
      </c>
      <c r="G70" t="s">
        <v>900</v>
      </c>
      <c r="I70" t="s">
        <v>900</v>
      </c>
      <c r="N70" t="s">
        <v>900</v>
      </c>
      <c r="AI70" t="s">
        <v>900</v>
      </c>
      <c r="AN70" t="s">
        <v>900</v>
      </c>
      <c r="AP70" t="s">
        <v>900</v>
      </c>
      <c r="BI70" t="s">
        <v>900</v>
      </c>
    </row>
    <row r="71" spans="1:74" ht="28.5" x14ac:dyDescent="0.2">
      <c r="A71" t="s">
        <v>932</v>
      </c>
      <c r="B71">
        <v>45</v>
      </c>
      <c r="C71">
        <v>3.71</v>
      </c>
      <c r="D71" s="162" t="s">
        <v>959</v>
      </c>
      <c r="G71" t="s">
        <v>900</v>
      </c>
      <c r="I71" t="s">
        <v>900</v>
      </c>
      <c r="N71" t="s">
        <v>900</v>
      </c>
      <c r="AE71" t="s">
        <v>900</v>
      </c>
      <c r="AF71" t="s">
        <v>900</v>
      </c>
      <c r="AN71" t="s">
        <v>900</v>
      </c>
      <c r="AP71" t="s">
        <v>900</v>
      </c>
      <c r="AV71" t="s">
        <v>900</v>
      </c>
      <c r="BI71" t="s">
        <v>900</v>
      </c>
      <c r="BV71" t="s">
        <v>900</v>
      </c>
    </row>
    <row r="72" spans="1:74" x14ac:dyDescent="0.2">
      <c r="A72" t="s">
        <v>500</v>
      </c>
      <c r="B72">
        <v>25</v>
      </c>
      <c r="C72">
        <v>3.4</v>
      </c>
      <c r="D72" t="s">
        <v>944</v>
      </c>
      <c r="J72" t="s">
        <v>900</v>
      </c>
      <c r="W72" t="s">
        <v>900</v>
      </c>
      <c r="AD72" t="s">
        <v>900</v>
      </c>
      <c r="AF72" t="s">
        <v>900</v>
      </c>
      <c r="AI72" t="s">
        <v>900</v>
      </c>
      <c r="AN72" t="s">
        <v>900</v>
      </c>
      <c r="AP72" t="s">
        <v>900</v>
      </c>
    </row>
    <row r="73" spans="1:74" x14ac:dyDescent="0.2">
      <c r="A73" t="s">
        <v>502</v>
      </c>
      <c r="B73">
        <v>20</v>
      </c>
      <c r="C73">
        <v>4.25</v>
      </c>
      <c r="D73" t="s">
        <v>945</v>
      </c>
      <c r="J73" t="s">
        <v>900</v>
      </c>
      <c r="W73" t="s">
        <v>900</v>
      </c>
      <c r="AA73" t="s">
        <v>900</v>
      </c>
      <c r="AD73" t="s">
        <v>900</v>
      </c>
      <c r="AF73" t="s">
        <v>900</v>
      </c>
      <c r="AI73" t="s">
        <v>900</v>
      </c>
      <c r="AN73" t="s">
        <v>900</v>
      </c>
    </row>
    <row r="74" spans="1:74" x14ac:dyDescent="0.2">
      <c r="A74" t="s">
        <v>963</v>
      </c>
      <c r="B74">
        <f>8+2+1+2+2+10</f>
        <v>25</v>
      </c>
      <c r="G74" t="s">
        <v>900</v>
      </c>
      <c r="W74" t="s">
        <v>900</v>
      </c>
      <c r="AC74" t="s">
        <v>900</v>
      </c>
      <c r="AD74" t="s">
        <v>900</v>
      </c>
      <c r="AI74" t="s">
        <v>900</v>
      </c>
      <c r="AN74" t="s">
        <v>900</v>
      </c>
      <c r="AS74" t="s">
        <v>900</v>
      </c>
    </row>
    <row r="75" spans="1:74" x14ac:dyDescent="0.2">
      <c r="A75" t="s">
        <v>964</v>
      </c>
      <c r="B75">
        <v>20</v>
      </c>
      <c r="G75" t="s">
        <v>900</v>
      </c>
      <c r="U75" t="s">
        <v>900</v>
      </c>
      <c r="W75" t="s">
        <v>900</v>
      </c>
      <c r="BD75" t="s">
        <v>900</v>
      </c>
    </row>
    <row r="76" spans="1:74" x14ac:dyDescent="0.2">
      <c r="A76" t="s">
        <v>965</v>
      </c>
      <c r="B76">
        <v>27</v>
      </c>
      <c r="G76" t="s">
        <v>900</v>
      </c>
      <c r="J76" t="s">
        <v>900</v>
      </c>
      <c r="AD76" t="s">
        <v>900</v>
      </c>
      <c r="AI76" t="s">
        <v>900</v>
      </c>
      <c r="AN76" t="s">
        <v>900</v>
      </c>
    </row>
    <row r="77" spans="1:74" x14ac:dyDescent="0.2">
      <c r="A77" t="s">
        <v>966</v>
      </c>
      <c r="B77">
        <v>30</v>
      </c>
      <c r="G77" t="s">
        <v>900</v>
      </c>
      <c r="J77" t="s">
        <v>900</v>
      </c>
      <c r="W77" t="s">
        <v>900</v>
      </c>
      <c r="AC77" t="s">
        <v>900</v>
      </c>
      <c r="AF77" t="s">
        <v>900</v>
      </c>
      <c r="AH77" t="s">
        <v>900</v>
      </c>
      <c r="AI77" t="s">
        <v>900</v>
      </c>
      <c r="AN77" t="s">
        <v>900</v>
      </c>
      <c r="AS77" t="s">
        <v>900</v>
      </c>
    </row>
    <row r="78" spans="1:74" x14ac:dyDescent="0.2">
      <c r="A78" t="s">
        <v>967</v>
      </c>
      <c r="B78">
        <v>11</v>
      </c>
      <c r="E78" t="s">
        <v>900</v>
      </c>
      <c r="G78" t="s">
        <v>900</v>
      </c>
      <c r="AC78" t="s">
        <v>900</v>
      </c>
      <c r="AH78" t="s">
        <v>900</v>
      </c>
    </row>
    <row r="79" spans="1:74" x14ac:dyDescent="0.2">
      <c r="A79" t="s">
        <v>972</v>
      </c>
      <c r="B79">
        <v>30.5</v>
      </c>
      <c r="U79" t="s">
        <v>900</v>
      </c>
      <c r="AD79" t="s">
        <v>900</v>
      </c>
      <c r="AE79" t="s">
        <v>900</v>
      </c>
      <c r="AI79" t="s">
        <v>900</v>
      </c>
      <c r="AW79" t="s">
        <v>900</v>
      </c>
      <c r="BD79" t="s">
        <v>900</v>
      </c>
      <c r="BE79" t="s">
        <v>900</v>
      </c>
    </row>
    <row r="80" spans="1:74" x14ac:dyDescent="0.2">
      <c r="A80" t="s">
        <v>968</v>
      </c>
      <c r="B80">
        <v>17</v>
      </c>
      <c r="G80" t="s">
        <v>900</v>
      </c>
      <c r="AD80" t="s">
        <v>900</v>
      </c>
      <c r="AS80" t="s">
        <v>900</v>
      </c>
    </row>
    <row r="81" spans="1:48" x14ac:dyDescent="0.2">
      <c r="A81" t="s">
        <v>970</v>
      </c>
      <c r="B81">
        <v>18</v>
      </c>
      <c r="J81" t="s">
        <v>900</v>
      </c>
      <c r="W81" t="s">
        <v>900</v>
      </c>
      <c r="AU81" t="s">
        <v>900</v>
      </c>
    </row>
    <row r="82" spans="1:48" x14ac:dyDescent="0.2">
      <c r="A82" t="s">
        <v>969</v>
      </c>
      <c r="B82">
        <v>27.5</v>
      </c>
      <c r="U82" t="s">
        <v>900</v>
      </c>
      <c r="AC82" t="s">
        <v>900</v>
      </c>
      <c r="AF82" t="s">
        <v>900</v>
      </c>
      <c r="AI82" t="s">
        <v>900</v>
      </c>
      <c r="AN82" t="s">
        <v>900</v>
      </c>
      <c r="AV82" t="s">
        <v>900</v>
      </c>
    </row>
  </sheetData>
  <sheetProtection algorithmName="SHA-512" hashValue="8JmqdjyQxxAFMkC2KePsIy5FqDDOkUIOy7ZsdjPueLlTtWyxIsznQIkDtliTx88QLT+gltczBhd6EJWLNl2ApA==" saltValue="piNWuchZBQ4OwnQhvmOcsQ==" spinCount="100000" sheet="1" objects="1" scenarios="1"/>
  <pageMargins left="0.7" right="0.7" top="0.78740157499999996" bottom="0.78740157499999996" header="0.3" footer="0.3"/>
  <legacy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3020B-BC76-4ECE-A082-3DEBC3C8817F}">
  <dimension ref="A1:BU79"/>
  <sheetViews>
    <sheetView workbookViewId="0">
      <selection activeCell="A2" sqref="A2"/>
    </sheetView>
  </sheetViews>
  <sheetFormatPr baseColWidth="10" defaultRowHeight="14.25" x14ac:dyDescent="0.2"/>
  <cols>
    <col min="1" max="1" width="71.875" bestFit="1" customWidth="1"/>
    <col min="4" max="4" width="20.375" customWidth="1"/>
    <col min="5" max="5" width="13.375" customWidth="1"/>
    <col min="6" max="6" width="17.75" customWidth="1"/>
    <col min="7" max="7" width="16.125" customWidth="1"/>
    <col min="8" max="8" width="8.875" customWidth="1"/>
    <col min="9" max="9" width="14.125" customWidth="1"/>
    <col min="10" max="10" width="45.875" customWidth="1"/>
    <col min="11" max="11" width="41.75" customWidth="1"/>
    <col min="12" max="12" width="12.375" customWidth="1"/>
    <col min="13" max="13" width="13.25" customWidth="1"/>
    <col min="14" max="14" width="11.875" customWidth="1"/>
    <col min="15" max="15" width="22.75" customWidth="1"/>
    <col min="16" max="16" width="19.625" customWidth="1"/>
    <col min="17" max="17" width="12.875" customWidth="1"/>
    <col min="18" max="18" width="7.5" customWidth="1"/>
    <col min="19" max="19" width="10.875" customWidth="1"/>
    <col min="20" max="20" width="13.625" customWidth="1"/>
    <col min="21" max="21" width="42.125" customWidth="1"/>
    <col min="22" max="22" width="9.125" customWidth="1"/>
    <col min="23" max="23" width="13.5" customWidth="1"/>
    <col min="24" max="24" width="8.125" customWidth="1"/>
    <col min="25" max="25" width="12" customWidth="1"/>
    <col min="26" max="26" width="7.625" customWidth="1"/>
    <col min="27" max="27" width="10.125" customWidth="1"/>
    <col min="28" max="28" width="19.5" customWidth="1"/>
    <col min="29" max="29" width="45" customWidth="1"/>
    <col min="30" max="30" width="8" customWidth="1"/>
    <col min="31" max="31" width="10.5" customWidth="1"/>
    <col min="32" max="32" width="29.5" customWidth="1"/>
    <col min="33" max="33" width="17" customWidth="1"/>
    <col min="34" max="34" width="10.375" customWidth="1"/>
    <col min="35" max="35" width="19" customWidth="1"/>
    <col min="36" max="36" width="14.375" customWidth="1"/>
    <col min="37" max="37" width="9.625" customWidth="1"/>
    <col min="38" max="38" width="15.625" customWidth="1"/>
    <col min="39" max="39" width="25.375" customWidth="1"/>
    <col min="40" max="40" width="8" customWidth="1"/>
    <col min="41" max="41" width="21.5" customWidth="1"/>
    <col min="42" max="42" width="14.375" customWidth="1"/>
    <col min="43" max="43" width="15.75" customWidth="1"/>
    <col min="44" max="44" width="6.875" customWidth="1"/>
    <col min="45" max="45" width="45.125" customWidth="1"/>
    <col min="46" max="46" width="18.75" customWidth="1"/>
    <col min="47" max="47" width="15" customWidth="1"/>
    <col min="48" max="48" width="15.375" customWidth="1"/>
    <col min="49" max="49" width="15.5" customWidth="1"/>
    <col min="50" max="50" width="12.25" customWidth="1"/>
    <col min="51" max="51" width="20.5" customWidth="1"/>
    <col min="52" max="52" width="10.875" customWidth="1"/>
    <col min="53" max="53" width="18.5" customWidth="1"/>
    <col min="54" max="54" width="17.25" customWidth="1"/>
    <col min="55" max="55" width="14.75" customWidth="1"/>
    <col min="56" max="56" width="24.375" customWidth="1"/>
    <col min="57" max="57" width="9.875" customWidth="1"/>
    <col min="58" max="58" width="12.625" customWidth="1"/>
    <col min="59" max="59" width="11.5" customWidth="1"/>
    <col min="60" max="60" width="11.125" customWidth="1"/>
    <col min="61" max="61" width="14.125" customWidth="1"/>
    <col min="62" max="62" width="12.25" customWidth="1"/>
    <col min="63" max="63" width="9.875" customWidth="1"/>
    <col min="64" max="64" width="11.625" customWidth="1"/>
    <col min="65" max="65" width="11.5" customWidth="1"/>
    <col min="66" max="66" width="13.75" customWidth="1"/>
    <col min="67" max="67" width="16.5" customWidth="1"/>
    <col min="68" max="68" width="11.5" customWidth="1"/>
    <col min="69" max="69" width="11.25" customWidth="1"/>
    <col min="70" max="70" width="11.75" customWidth="1"/>
    <col min="71" max="71" width="9.875" customWidth="1"/>
    <col min="72" max="72" width="17.375" customWidth="1"/>
    <col min="73" max="73" width="15.75" customWidth="1"/>
  </cols>
  <sheetData>
    <row r="1" spans="1:73" x14ac:dyDescent="0.2">
      <c r="A1" t="s">
        <v>942</v>
      </c>
      <c r="B1" t="s">
        <v>958</v>
      </c>
      <c r="C1" t="s">
        <v>973</v>
      </c>
      <c r="D1" t="s">
        <v>63</v>
      </c>
      <c r="E1" t="s">
        <v>271</v>
      </c>
      <c r="F1" t="s">
        <v>8</v>
      </c>
      <c r="G1" t="s">
        <v>65</v>
      </c>
      <c r="H1" t="s">
        <v>906</v>
      </c>
      <c r="I1" t="s">
        <v>899</v>
      </c>
      <c r="J1" t="s">
        <v>11</v>
      </c>
      <c r="K1" t="s">
        <v>394</v>
      </c>
      <c r="L1" t="s">
        <v>67</v>
      </c>
      <c r="M1" t="s">
        <v>13</v>
      </c>
      <c r="N1" t="s">
        <v>68</v>
      </c>
      <c r="O1" t="s">
        <v>14</v>
      </c>
      <c r="P1" t="s">
        <v>15</v>
      </c>
      <c r="Q1" t="s">
        <v>69</v>
      </c>
      <c r="R1" t="s">
        <v>70</v>
      </c>
      <c r="S1" t="s">
        <v>71</v>
      </c>
      <c r="T1" t="s">
        <v>16</v>
      </c>
      <c r="U1" t="s">
        <v>397</v>
      </c>
      <c r="V1" t="s">
        <v>399</v>
      </c>
      <c r="W1" t="s">
        <v>609</v>
      </c>
      <c r="X1" t="s">
        <v>915</v>
      </c>
      <c r="Y1" t="s">
        <v>19</v>
      </c>
      <c r="Z1" t="s">
        <v>473</v>
      </c>
      <c r="AA1" t="s">
        <v>21</v>
      </c>
      <c r="AB1" t="s">
        <v>23</v>
      </c>
      <c r="AC1" t="s">
        <v>902</v>
      </c>
      <c r="AD1" t="s">
        <v>557</v>
      </c>
      <c r="AE1" t="s">
        <v>24</v>
      </c>
      <c r="AF1" t="s">
        <v>93</v>
      </c>
      <c r="AG1" t="s">
        <v>25</v>
      </c>
      <c r="AH1" t="s">
        <v>26</v>
      </c>
      <c r="AI1" t="s">
        <v>28</v>
      </c>
      <c r="AJ1" t="s">
        <v>30</v>
      </c>
      <c r="AK1" t="s">
        <v>31</v>
      </c>
      <c r="AL1" t="s">
        <v>74</v>
      </c>
      <c r="AM1" t="s">
        <v>549</v>
      </c>
      <c r="AN1" t="s">
        <v>94</v>
      </c>
      <c r="AO1" t="s">
        <v>555</v>
      </c>
      <c r="AP1" t="s">
        <v>33</v>
      </c>
      <c r="AQ1" t="s">
        <v>34</v>
      </c>
      <c r="AR1" t="s">
        <v>35</v>
      </c>
      <c r="AS1" t="s">
        <v>675</v>
      </c>
      <c r="AT1" t="s">
        <v>37</v>
      </c>
      <c r="AU1" t="s">
        <v>217</v>
      </c>
      <c r="AV1" t="s">
        <v>403</v>
      </c>
      <c r="AW1" t="s">
        <v>490</v>
      </c>
      <c r="AX1" t="s">
        <v>38</v>
      </c>
      <c r="AY1" t="s">
        <v>208</v>
      </c>
      <c r="AZ1" t="s">
        <v>39</v>
      </c>
      <c r="BA1" t="s">
        <v>404</v>
      </c>
      <c r="BB1" t="s">
        <v>41</v>
      </c>
      <c r="BC1" t="s">
        <v>556</v>
      </c>
      <c r="BD1" t="s">
        <v>42</v>
      </c>
      <c r="BE1" t="s">
        <v>408</v>
      </c>
      <c r="BF1" t="s">
        <v>409</v>
      </c>
      <c r="BG1" t="s">
        <v>903</v>
      </c>
      <c r="BH1" t="s">
        <v>910</v>
      </c>
      <c r="BI1" t="s">
        <v>912</v>
      </c>
      <c r="BJ1" t="s">
        <v>913</v>
      </c>
      <c r="BK1" t="s">
        <v>917</v>
      </c>
      <c r="BL1" t="s">
        <v>918</v>
      </c>
      <c r="BM1" t="s">
        <v>919</v>
      </c>
      <c r="BN1" t="s">
        <v>920</v>
      </c>
      <c r="BO1" t="s">
        <v>921</v>
      </c>
      <c r="BP1" t="s">
        <v>922</v>
      </c>
      <c r="BQ1" t="s">
        <v>923</v>
      </c>
      <c r="BR1" t="s">
        <v>276</v>
      </c>
      <c r="BS1" t="s">
        <v>924</v>
      </c>
      <c r="BT1" t="s">
        <v>928</v>
      </c>
      <c r="BU1" t="s">
        <v>962</v>
      </c>
    </row>
    <row r="2" spans="1:73" x14ac:dyDescent="0.2">
      <c r="A2" t="s">
        <v>364</v>
      </c>
      <c r="B2">
        <v>35</v>
      </c>
      <c r="C2" s="214">
        <v>5.988999999999999</v>
      </c>
      <c r="D2" t="str">
        <f>IF(VLOOKUP($A2,Tabelle1!$A$4:$BU$73,5,0)&lt;&gt;"",D$1,"")</f>
        <v/>
      </c>
      <c r="E2" t="str">
        <f>IF(VLOOKUP($A2,Tabelle1!$A$4:$BU$73,6,0)&lt;&gt;"",E$1,"")</f>
        <v/>
      </c>
      <c r="F2" t="str">
        <f>IF(VLOOKUP($A2,Tabelle1!$A$4:$BU$73,7,0)&lt;&gt;"",F$1,"")</f>
        <v/>
      </c>
      <c r="G2" t="str">
        <f>IF(VLOOKUP($A2,Tabelle1!$A$4:$BU$73,8,0)&lt;&gt;"",G$1,"")</f>
        <v/>
      </c>
      <c r="H2" t="str">
        <f>IF(VLOOKUP($A2,Tabelle1!$A$4:$BU$73,9,0)&lt;&gt;"",H$1,"")</f>
        <v/>
      </c>
      <c r="I2" t="str">
        <f>IF(VLOOKUP($A2,Tabelle1!$A$4:$BU$73,10,0)&lt;&gt;"",I$1,"")</f>
        <v xml:space="preserve">Buchweizen </v>
      </c>
      <c r="J2" t="str">
        <f>IF(VLOOKUP($A2,Tabelle1!$A$4:$BU$73,11,0)&lt;&gt;"",J$1,"")</f>
        <v/>
      </c>
      <c r="K2" t="str">
        <f>IF(VLOOKUP($A2,Tabelle1!$A$4:$BU$73,12,0)&lt;&gt;"",K$1,"")</f>
        <v/>
      </c>
      <c r="L2" t="str">
        <f>IF(VLOOKUP($A2,Tabelle1!$A$4:$BU$73,13,0)&lt;&gt;"",L$1,"")</f>
        <v>Esparsette</v>
      </c>
      <c r="M2" t="str">
        <f>IF(VLOOKUP($A2,Tabelle1!$A$4:$BU$73,14,0)&lt;&gt;"",M$1,"")</f>
        <v/>
      </c>
      <c r="N2" t="str">
        <f>IF(VLOOKUP($A2,Tabelle1!$A$4:$BU$73,15,0)&lt;&gt;"",N$1,"")</f>
        <v/>
      </c>
      <c r="O2" t="str">
        <f>IF(VLOOKUP($A2,Tabelle1!$A$4:$BU$73,16,0)&lt;&gt;"",O$1,"")</f>
        <v>Gelbklee (Hopfenklee)</v>
      </c>
      <c r="P2" t="str">
        <f>IF(VLOOKUP($A2,Tabelle1!$A$4:$BU$73,17,0)&lt;&gt;"",P$1,"")</f>
        <v/>
      </c>
      <c r="Q2" t="str">
        <f>IF(VLOOKUP($A2,Tabelle1!$A$4:$BU$73,18,0)&lt;&gt;"",Q$1,"")</f>
        <v/>
      </c>
      <c r="R2" t="str">
        <f>IF(VLOOKUP($A2,Tabelle1!$A$4:$BU$73,19,0)&lt;&gt;"",R$1,"")</f>
        <v/>
      </c>
      <c r="S2" t="str">
        <f>IF(VLOOKUP($A2,Tabelle1!$A$4:$BU$73,20,0)&lt;&gt;"",S$1,"")</f>
        <v>Hornklee</v>
      </c>
      <c r="T2" t="str">
        <f>IF(VLOOKUP($A2,Tabelle1!$A$4:$BU$73,21,0)&lt;&gt;"",T$1,"")</f>
        <v>Inkarnatklee</v>
      </c>
      <c r="U2" t="str">
        <f>IF(VLOOKUP($A2,Tabelle1!$A$4:$BU$73,22,0)&lt;&gt;"",U$1,"")</f>
        <v/>
      </c>
      <c r="V2" t="str">
        <f>IF(VLOOKUP($A2,Tabelle1!$A$4:$BU$73,23,0)&lt;&gt;"",V$1,"")</f>
        <v/>
      </c>
      <c r="W2" t="str">
        <f>IF(VLOOKUP($A2,Tabelle1!$A$4:$BU$73,24,0)&lt;&gt;"",W$1,"")</f>
        <v/>
      </c>
      <c r="X2" t="str">
        <f>IF(VLOOKUP($A2,Tabelle1!$A$4:$BU$73,25,0)&lt;&gt;"",X$1,"")</f>
        <v/>
      </c>
      <c r="Y2" t="str">
        <f>IF(VLOOKUP($A2,Tabelle1!$A$4:$BU$73,26,0)&lt;&gt;"",Y$1,"")</f>
        <v>Leindotter</v>
      </c>
      <c r="Z2" t="str">
        <f>IF(VLOOKUP($A2,Tabelle1!$A$4:$BU$73,27,0)&lt;&gt;"",Z$1,"")</f>
        <v/>
      </c>
      <c r="AA2" t="str">
        <f>IF(VLOOKUP($A2,Tabelle1!$A$4:$BU$73,28,0)&lt;&gt;"",AA$1,"")</f>
        <v>Luzerne</v>
      </c>
      <c r="AB2" t="str">
        <f>IF(VLOOKUP($A2,Tabelle1!$A$4:$BU$73,29,0)&lt;&gt;"",AB$1,"")</f>
        <v/>
      </c>
      <c r="AC2" t="str">
        <f>IF(VLOOKUP($A2,Tabelle1!$A$4:$BU$73,30,0)&lt;&gt;"",AC$1,"")</f>
        <v/>
      </c>
      <c r="AD2" t="str">
        <f>IF(VLOOKUP($A2,Tabelle1!$A$4:$BU$73,31,0)&lt;&gt;"",AD$1,"")</f>
        <v>Öllein</v>
      </c>
      <c r="AE2" t="str">
        <f>IF(VLOOKUP($A2,Tabelle1!$A$4:$BU$73,32,0)&lt;&gt;"",AE$1,"")</f>
        <v/>
      </c>
      <c r="AF2" t="str">
        <f>IF(VLOOKUP($A2,Tabelle1!$A$4:$BU$73,33,0)&lt;&gt;"",AF$1,"")</f>
        <v/>
      </c>
      <c r="AG2" t="str">
        <f>IF(VLOOKUP($A2,Tabelle1!$A$4:$BU$73,34,0)&lt;&gt;"",AG$1,"")</f>
        <v/>
      </c>
      <c r="AH2" t="str">
        <f>IF(VLOOKUP($A2,Tabelle1!$A$4:$BU$73,35,0)&lt;&gt;"",AH$1,"")</f>
        <v>Phazelie</v>
      </c>
      <c r="AI2" t="str">
        <f>IF(VLOOKUP($A2,Tabelle1!$A$4:$BU$73,36,0)&lt;&gt;"",AI$1,"")</f>
        <v/>
      </c>
      <c r="AJ2" t="str">
        <f>IF(VLOOKUP($A2,Tabelle1!$A$4:$BU$73,37,0)&lt;&gt;"",AJ$1,"")</f>
        <v/>
      </c>
      <c r="AK2" t="str">
        <f>IF(VLOOKUP($A2,Tabelle1!$A$4:$BU$73,38,0)&lt;&gt;"",AK$1,"")</f>
        <v>Rotklee</v>
      </c>
      <c r="AL2" t="str">
        <f>IF(VLOOKUP($A2,Tabelle1!$A$4:$BU$73,39,0)&lt;&gt;"",AL$1,"")</f>
        <v/>
      </c>
      <c r="AM2" t="str">
        <f>IF(VLOOKUP($A2,Tabelle1!$A$4:$BU$73,40,0)&lt;&gt;"",AM$1,"")</f>
        <v/>
      </c>
      <c r="AN2" t="str">
        <f>IF(VLOOKUP($A2,Tabelle1!$A$4:$BU$73,41,0)&lt;&gt;"",AN$1,"")</f>
        <v/>
      </c>
      <c r="AO2" t="str">
        <f>IF(VLOOKUP($A2,Tabelle1!$A$4:$BU$73,42,0)&lt;&gt;"",AO$1,"")</f>
        <v/>
      </c>
      <c r="AP2" t="str">
        <f>IF(VLOOKUP($A2,Tabelle1!$A$4:$BU$73,43,0)&lt;&gt;"",AP$1,"")</f>
        <v/>
      </c>
      <c r="AQ2" t="str">
        <f>IF(VLOOKUP($A2,Tabelle1!$A$4:$BU$73,44,0)&lt;&gt;"",AQ$1,"")</f>
        <v/>
      </c>
      <c r="AR2" t="str">
        <f>IF(VLOOKUP($A2,Tabelle1!$A$4:$BU$73,45,0)&lt;&gt;"",AR$1,"")</f>
        <v>Senf</v>
      </c>
      <c r="AS2" t="str">
        <f>IF(VLOOKUP($A2,Tabelle1!$A$4:$BU$73,46,0)&lt;&gt;"",AS$1,"")</f>
        <v/>
      </c>
      <c r="AT2" t="str">
        <f>IF(VLOOKUP($A2,Tabelle1!$A$4:$BU$73,47,0)&lt;&gt;"",AT$1,"")</f>
        <v/>
      </c>
      <c r="AU2" t="str">
        <f>IF(VLOOKUP($A2,Tabelle1!$A$4:$BU$73,48,0)&lt;&gt;"",AU$1,"")</f>
        <v/>
      </c>
      <c r="AV2" t="str">
        <f>IF(VLOOKUP($A2,Tabelle1!$A$4:$BU$73,49,0)&lt;&gt;"",AV$1,"")</f>
        <v>Spitzwegerich</v>
      </c>
      <c r="AW2" t="str">
        <f>IF(VLOOKUP($A2,Tabelle1!$A$4:$BU$73,50,0)&lt;&gt;"",AW$1,"")</f>
        <v/>
      </c>
      <c r="AX2" t="str">
        <f>IF(VLOOKUP($A2,Tabelle1!$A$4:$BU$73,51,0)&lt;&gt;"",AX$1,"")</f>
        <v/>
      </c>
      <c r="AY2" t="str">
        <f>IF(VLOOKUP($A2,Tabelle1!$A$4:$BU$73,52,0)&lt;&gt;"",AY$1,"")</f>
        <v/>
      </c>
      <c r="AZ2" t="str">
        <f>IF(VLOOKUP($A2,Tabelle1!$A$4:$BU$73,53,0)&lt;&gt;"",AZ$1,"")</f>
        <v>Weißklee</v>
      </c>
      <c r="BA2" t="str">
        <f>IF(VLOOKUP($A2,Tabelle1!$A$4:$BU$73,54,0)&lt;&gt;"",BA$1,"")</f>
        <v/>
      </c>
      <c r="BB2" t="str">
        <f>IF(VLOOKUP($A2,Tabelle1!$A$4:$BU$73,55,0)&lt;&gt;"",BB$1,"")</f>
        <v/>
      </c>
      <c r="BC2" t="str">
        <f>IF(VLOOKUP($A2,Tabelle1!$A$4:$BU$73,56,0)&lt;&gt;"",BC$1,"")</f>
        <v/>
      </c>
      <c r="BD2" t="str">
        <f>IF(VLOOKUP($A2,Tabelle1!$A$4:$BU$73,57,0)&lt;&gt;"",BD$1,"")</f>
        <v/>
      </c>
      <c r="BE2" t="str">
        <f>IF(VLOOKUP($A2,Tabelle1!$A$4:$BU$73,58,0)&lt;&gt;"",BE$1,"")</f>
        <v>Zichorie</v>
      </c>
      <c r="BF2" t="str">
        <f>IF(VLOOKUP($A2,Tabelle1!$A$4:$BU$73,59,0)&lt;&gt;"",BF$1,"")</f>
        <v/>
      </c>
      <c r="BG2" t="str">
        <f>IF(VLOOKUP($A2,Tabelle1!$A$4:$BU$73,60,0)&lt;&gt;"",BG$1,"")</f>
        <v/>
      </c>
      <c r="BH2" t="str">
        <f>IF(VLOOKUP($A2,Tabelle1!$A$4:$BU$73,61,0)&lt;&gt;"",BH$1,"")</f>
        <v/>
      </c>
      <c r="BI2" t="str">
        <f>IF(VLOOKUP($A2,Tabelle1!$A$4:$BU$73,62,0)&lt;&gt;"",BI$1,"")</f>
        <v/>
      </c>
      <c r="BJ2" t="str">
        <f>IF(VLOOKUP($A2,Tabelle1!$A$4:$BU$73,63,0)&lt;&gt;"",BJ$1,"")</f>
        <v/>
      </c>
      <c r="BK2" t="str">
        <f>IF(VLOOKUP($A2,Tabelle1!$A$4:$BU$73,64,0)&lt;&gt;"",BK$1,"")</f>
        <v>Kümmel</v>
      </c>
      <c r="BL2" t="str">
        <f>IF(VLOOKUP($A2,Tabelle1!$A$4:$BU$73,65,0)&lt;&gt;"",BL$1,"")</f>
        <v>Koriander</v>
      </c>
      <c r="BM2" t="str">
        <f>IF(VLOOKUP($A2,Tabelle1!$A$4:$BU$73,66,0)&lt;&gt;"",BM$1,"")</f>
        <v/>
      </c>
      <c r="BN2" t="str">
        <f>IF(VLOOKUP($A2,Tabelle1!$A$4:$BU$73,67,0)&lt;&gt;"",BN$1,"")</f>
        <v/>
      </c>
      <c r="BO2" t="str">
        <f>IF(VLOOKUP($A2,Tabelle1!$A$4:$BU$73,68,0)&lt;&gt;"",BO$1,"")</f>
        <v/>
      </c>
      <c r="BP2" t="str">
        <f>IF(VLOOKUP($A2,Tabelle1!$A$4:$BU$73,69,0)&lt;&gt;"",BP$1,"")</f>
        <v/>
      </c>
      <c r="BQ2" t="str">
        <f>IF(VLOOKUP($A2,Tabelle1!$A$4:$BU$73,70,0)&lt;&gt;"",BQ$1,"")</f>
        <v/>
      </c>
      <c r="BR2" t="str">
        <f>IF(VLOOKUP($A2,Tabelle1!$A$4:$BU$73,71,0)&lt;&gt;"",BR$1,"")</f>
        <v/>
      </c>
      <c r="BS2" t="str">
        <f>IF(VLOOKUP($A2,Tabelle1!$A$4:$BU$73,72,0)&lt;&gt;"",BS$1,"")</f>
        <v/>
      </c>
      <c r="BT2" t="str">
        <f>IF(VLOOKUP($A2,Tabelle1!$A$4:$BU$73,73,0)&lt;&gt;"",BT$1,"")</f>
        <v/>
      </c>
    </row>
    <row r="3" spans="1:73" x14ac:dyDescent="0.2">
      <c r="A3" t="s">
        <v>365</v>
      </c>
      <c r="B3">
        <v>30</v>
      </c>
      <c r="C3" s="214">
        <v>4.0453999999999999</v>
      </c>
      <c r="D3" t="str">
        <f>IF(VLOOKUP($A3,Tabelle1!$A$4:$BU$73,5,0)&lt;&gt;"",D$1,"")</f>
        <v/>
      </c>
      <c r="E3" t="str">
        <f>IF(VLOOKUP($A3,Tabelle1!$A$4:$BU$73,6,0)&lt;&gt;"",E$1,"")</f>
        <v/>
      </c>
      <c r="F3" t="str">
        <f>IF(VLOOKUP($A3,Tabelle1!$A$4:$BU$73,7,0)&lt;&gt;"",F$1,"")</f>
        <v>Alexandrinerklee</v>
      </c>
      <c r="G3" t="str">
        <f>IF(VLOOKUP($A3,Tabelle1!$A$4:$BU$73,8,0)&lt;&gt;"",G$1,"")</f>
        <v/>
      </c>
      <c r="H3" t="str">
        <f>IF(VLOOKUP($A3,Tabelle1!$A$4:$BU$73,9,0)&lt;&gt;"",H$1,"")</f>
        <v/>
      </c>
      <c r="I3" t="str">
        <f>IF(VLOOKUP($A3,Tabelle1!$A$4:$BU$73,10,0)&lt;&gt;"",I$1,"")</f>
        <v/>
      </c>
      <c r="J3" t="str">
        <f>IF(VLOOKUP($A3,Tabelle1!$A$4:$BU$73,11,0)&lt;&gt;"",J$1,"")</f>
        <v/>
      </c>
      <c r="K3" t="str">
        <f>IF(VLOOKUP($A3,Tabelle1!$A$4:$BU$73,12,0)&lt;&gt;"",K$1,"")</f>
        <v/>
      </c>
      <c r="L3" t="str">
        <f>IF(VLOOKUP($A3,Tabelle1!$A$4:$BU$73,13,0)&lt;&gt;"",L$1,"")</f>
        <v/>
      </c>
      <c r="M3" t="str">
        <f>IF(VLOOKUP($A3,Tabelle1!$A$4:$BU$73,14,0)&lt;&gt;"",M$1,"")</f>
        <v/>
      </c>
      <c r="N3" t="str">
        <f>IF(VLOOKUP($A3,Tabelle1!$A$4:$BU$73,15,0)&lt;&gt;"",N$1,"")</f>
        <v/>
      </c>
      <c r="O3" t="str">
        <f>IF(VLOOKUP($A3,Tabelle1!$A$4:$BU$73,16,0)&lt;&gt;"",O$1,"")</f>
        <v/>
      </c>
      <c r="P3" t="str">
        <f>IF(VLOOKUP($A3,Tabelle1!$A$4:$BU$73,17,0)&lt;&gt;"",P$1,"")</f>
        <v/>
      </c>
      <c r="Q3" t="str">
        <f>IF(VLOOKUP($A3,Tabelle1!$A$4:$BU$73,18,0)&lt;&gt;"",Q$1,"")</f>
        <v/>
      </c>
      <c r="R3" t="str">
        <f>IF(VLOOKUP($A3,Tabelle1!$A$4:$BU$73,19,0)&lt;&gt;"",R$1,"")</f>
        <v/>
      </c>
      <c r="S3" t="str">
        <f>IF(VLOOKUP($A3,Tabelle1!$A$4:$BU$73,20,0)&lt;&gt;"",S$1,"")</f>
        <v/>
      </c>
      <c r="T3" t="str">
        <f>IF(VLOOKUP($A3,Tabelle1!$A$4:$BU$73,21,0)&lt;&gt;"",T$1,"")</f>
        <v/>
      </c>
      <c r="U3" t="str">
        <f>IF(VLOOKUP($A3,Tabelle1!$A$4:$BU$73,22,0)&lt;&gt;"",U$1,"")</f>
        <v/>
      </c>
      <c r="V3" t="str">
        <f>IF(VLOOKUP($A3,Tabelle1!$A$4:$BU$73,23,0)&lt;&gt;"",V$1,"")</f>
        <v/>
      </c>
      <c r="W3" t="str">
        <f>IF(VLOOKUP($A3,Tabelle1!$A$4:$BU$73,24,0)&lt;&gt;"",W$1,"")</f>
        <v/>
      </c>
      <c r="X3" t="str">
        <f>IF(VLOOKUP($A3,Tabelle1!$A$4:$BU$73,25,0)&lt;&gt;"",X$1,"")</f>
        <v/>
      </c>
      <c r="Y3" t="str">
        <f>IF(VLOOKUP($A3,Tabelle1!$A$4:$BU$73,26,0)&lt;&gt;"",Y$1,"")</f>
        <v/>
      </c>
      <c r="Z3" t="str">
        <f>IF(VLOOKUP($A3,Tabelle1!$A$4:$BU$73,27,0)&lt;&gt;"",Z$1,"")</f>
        <v/>
      </c>
      <c r="AA3" t="str">
        <f>IF(VLOOKUP($A3,Tabelle1!$A$4:$BU$73,28,0)&lt;&gt;"",AA$1,"")</f>
        <v/>
      </c>
      <c r="AB3" t="str">
        <f>IF(VLOOKUP($A3,Tabelle1!$A$4:$BU$73,29,0)&lt;&gt;"",AB$1,"")</f>
        <v>Meliorationsrettich</v>
      </c>
      <c r="AC3" t="str">
        <f>IF(VLOOKUP($A3,Tabelle1!$A$4:$BU$73,30,0)&lt;&gt;"",AC$1,"")</f>
        <v>Schwarzsamen/Ramtilkraut/Gingellikraut/Mungo</v>
      </c>
      <c r="AD3" t="str">
        <f>IF(VLOOKUP($A3,Tabelle1!$A$4:$BU$73,31,0)&lt;&gt;"",AD$1,"")</f>
        <v>Öllein</v>
      </c>
      <c r="AE3" t="str">
        <f>IF(VLOOKUP($A3,Tabelle1!$A$4:$BU$73,32,0)&lt;&gt;"",AE$1,"")</f>
        <v/>
      </c>
      <c r="AF3" t="str">
        <f>IF(VLOOKUP($A3,Tabelle1!$A$4:$BU$73,33,0)&lt;&gt;"",AF$1,"")</f>
        <v/>
      </c>
      <c r="AG3" t="str">
        <f>IF(VLOOKUP($A3,Tabelle1!$A$4:$BU$73,34,0)&lt;&gt;"",AG$1,"")</f>
        <v/>
      </c>
      <c r="AH3" t="str">
        <f>IF(VLOOKUP($A3,Tabelle1!$A$4:$BU$73,35,0)&lt;&gt;"",AH$1,"")</f>
        <v/>
      </c>
      <c r="AI3" t="str">
        <f>IF(VLOOKUP($A3,Tabelle1!$A$4:$BU$73,36,0)&lt;&gt;"",AI$1,"")</f>
        <v/>
      </c>
      <c r="AJ3" t="str">
        <f>IF(VLOOKUP($A3,Tabelle1!$A$4:$BU$73,37,0)&lt;&gt;"",AJ$1,"")</f>
        <v/>
      </c>
      <c r="AK3" t="str">
        <f>IF(VLOOKUP($A3,Tabelle1!$A$4:$BU$73,38,0)&lt;&gt;"",AK$1,"")</f>
        <v/>
      </c>
      <c r="AL3" t="str">
        <f>IF(VLOOKUP($A3,Tabelle1!$A$4:$BU$73,39,0)&lt;&gt;"",AL$1,"")</f>
        <v/>
      </c>
      <c r="AM3" t="str">
        <f>IF(VLOOKUP($A3,Tabelle1!$A$4:$BU$73,40,0)&lt;&gt;"",AM$1,"")</f>
        <v>Saatwicke / Sommerwicke</v>
      </c>
      <c r="AN3" t="str">
        <f>IF(VLOOKUP($A3,Tabelle1!$A$4:$BU$73,41,0)&lt;&gt;"",AN$1,"")</f>
        <v>Saflor</v>
      </c>
      <c r="AO3" t="str">
        <f>IF(VLOOKUP($A3,Tabelle1!$A$4:$BU$73,42,0)&lt;&gt;"",AO$1,"")</f>
        <v/>
      </c>
      <c r="AP3" t="str">
        <f>IF(VLOOKUP($A3,Tabelle1!$A$4:$BU$73,43,0)&lt;&gt;"",AP$1,"")</f>
        <v/>
      </c>
      <c r="AQ3" t="str">
        <f>IF(VLOOKUP($A3,Tabelle1!$A$4:$BU$73,44,0)&lt;&gt;"",AQ$1,"")</f>
        <v/>
      </c>
      <c r="AR3" t="str">
        <f>IF(VLOOKUP($A3,Tabelle1!$A$4:$BU$73,45,0)&lt;&gt;"",AR$1,"")</f>
        <v/>
      </c>
      <c r="AS3" t="str">
        <f>IF(VLOOKUP($A3,Tabelle1!$A$4:$BU$73,46,0)&lt;&gt;"",AS$1,"")</f>
        <v/>
      </c>
      <c r="AT3" t="str">
        <f>IF(VLOOKUP($A3,Tabelle1!$A$4:$BU$73,47,0)&lt;&gt;"",AT$1,"")</f>
        <v/>
      </c>
      <c r="AU3" t="str">
        <f>IF(VLOOKUP($A3,Tabelle1!$A$4:$BU$73,48,0)&lt;&gt;"",AU$1,"")</f>
        <v/>
      </c>
      <c r="AV3" t="str">
        <f>IF(VLOOKUP($A3,Tabelle1!$A$4:$BU$73,49,0)&lt;&gt;"",AV$1,"")</f>
        <v/>
      </c>
      <c r="AW3" t="str">
        <f>IF(VLOOKUP($A3,Tabelle1!$A$4:$BU$73,50,0)&lt;&gt;"",AW$1,"")</f>
        <v/>
      </c>
      <c r="AX3" t="str">
        <f>IF(VLOOKUP($A3,Tabelle1!$A$4:$BU$73,51,0)&lt;&gt;"",AX$1,"")</f>
        <v>Sudangras</v>
      </c>
      <c r="AY3" t="str">
        <f>IF(VLOOKUP($A3,Tabelle1!$A$4:$BU$73,52,0)&lt;&gt;"",AY$1,"")</f>
        <v/>
      </c>
      <c r="AZ3" t="str">
        <f>IF(VLOOKUP($A3,Tabelle1!$A$4:$BU$73,53,0)&lt;&gt;"",AZ$1,"")</f>
        <v/>
      </c>
      <c r="BA3" t="str">
        <f>IF(VLOOKUP($A3,Tabelle1!$A$4:$BU$73,54,0)&lt;&gt;"",BA$1,"")</f>
        <v/>
      </c>
      <c r="BB3" t="str">
        <f>IF(VLOOKUP($A3,Tabelle1!$A$4:$BU$73,55,0)&lt;&gt;"",BB$1,"")</f>
        <v/>
      </c>
      <c r="BC3" t="str">
        <f>IF(VLOOKUP($A3,Tabelle1!$A$4:$BU$73,56,0)&lt;&gt;"",BC$1,"")</f>
        <v/>
      </c>
      <c r="BD3" t="str">
        <f>IF(VLOOKUP($A3,Tabelle1!$A$4:$BU$73,57,0)&lt;&gt;"",BD$1,"")</f>
        <v/>
      </c>
      <c r="BE3" t="str">
        <f>IF(VLOOKUP($A3,Tabelle1!$A$4:$BU$73,58,0)&lt;&gt;"",BE$1,"")</f>
        <v/>
      </c>
      <c r="BF3" t="str">
        <f>IF(VLOOKUP($A3,Tabelle1!$A$4:$BU$73,59,0)&lt;&gt;"",BF$1,"")</f>
        <v/>
      </c>
      <c r="BG3" t="str">
        <f>IF(VLOOKUP($A3,Tabelle1!$A$4:$BU$73,60,0)&lt;&gt;"",BG$1,"")</f>
        <v/>
      </c>
      <c r="BH3" t="str">
        <f>IF(VLOOKUP($A3,Tabelle1!$A$4:$BU$73,61,0)&lt;&gt;"",BH$1,"")</f>
        <v/>
      </c>
      <c r="BI3" t="str">
        <f>IF(VLOOKUP($A3,Tabelle1!$A$4:$BU$73,62,0)&lt;&gt;"",BI$1,"")</f>
        <v/>
      </c>
      <c r="BJ3" t="str">
        <f>IF(VLOOKUP($A3,Tabelle1!$A$4:$BU$73,63,0)&lt;&gt;"",BJ$1,"")</f>
        <v/>
      </c>
      <c r="BK3" t="str">
        <f>IF(VLOOKUP($A3,Tabelle1!$A$4:$BU$73,64,0)&lt;&gt;"",BK$1,"")</f>
        <v/>
      </c>
      <c r="BL3" t="str">
        <f>IF(VLOOKUP($A3,Tabelle1!$A$4:$BU$73,65,0)&lt;&gt;"",BL$1,"")</f>
        <v/>
      </c>
      <c r="BM3" t="str">
        <f>IF(VLOOKUP($A3,Tabelle1!$A$4:$BU$73,66,0)&lt;&gt;"",BM$1,"")</f>
        <v/>
      </c>
      <c r="BN3" t="str">
        <f>IF(VLOOKUP($A3,Tabelle1!$A$4:$BU$73,67,0)&lt;&gt;"",BN$1,"")</f>
        <v/>
      </c>
      <c r="BO3" t="str">
        <f>IF(VLOOKUP($A3,Tabelle1!$A$4:$BU$73,68,0)&lt;&gt;"",BO$1,"")</f>
        <v/>
      </c>
      <c r="BP3" t="str">
        <f>IF(VLOOKUP($A3,Tabelle1!$A$4:$BU$73,69,0)&lt;&gt;"",BP$1,"")</f>
        <v/>
      </c>
      <c r="BQ3" t="str">
        <f>IF(VLOOKUP($A3,Tabelle1!$A$4:$BU$73,70,0)&lt;&gt;"",BQ$1,"")</f>
        <v/>
      </c>
      <c r="BR3" t="str">
        <f>IF(VLOOKUP($A3,Tabelle1!$A$4:$BU$73,71,0)&lt;&gt;"",BR$1,"")</f>
        <v/>
      </c>
      <c r="BS3" t="str">
        <f>IF(VLOOKUP($A3,Tabelle1!$A$4:$BU$73,72,0)&lt;&gt;"",BS$1,"")</f>
        <v/>
      </c>
      <c r="BT3" t="str">
        <f>IF(VLOOKUP($A3,Tabelle1!$A$4:$BU$73,73,0)&lt;&gt;"",BT$1,"")</f>
        <v/>
      </c>
    </row>
    <row r="4" spans="1:73" x14ac:dyDescent="0.2">
      <c r="A4" t="s">
        <v>447</v>
      </c>
      <c r="B4">
        <v>20</v>
      </c>
      <c r="C4" s="214">
        <v>4.5259500000000008</v>
      </c>
      <c r="D4" t="str">
        <f>IF(VLOOKUP($A4,Tabelle1!$A$4:$BU$73,5,0)&lt;&gt;"",D$1,"")</f>
        <v/>
      </c>
      <c r="E4" t="str">
        <f>IF(VLOOKUP($A4,Tabelle1!$A$4:$BU$73,6,0)&lt;&gt;"",E$1,"")</f>
        <v/>
      </c>
      <c r="F4" t="str">
        <f>IF(VLOOKUP($A4,Tabelle1!$A$4:$BU$73,7,0)&lt;&gt;"",F$1,"")</f>
        <v/>
      </c>
      <c r="G4" t="str">
        <f>IF(VLOOKUP($A4,Tabelle1!$A$4:$BU$73,8,0)&lt;&gt;"",G$1,"")</f>
        <v/>
      </c>
      <c r="H4" t="str">
        <f>IF(VLOOKUP($A4,Tabelle1!$A$4:$BU$73,9,0)&lt;&gt;"",H$1,"")</f>
        <v/>
      </c>
      <c r="I4" t="str">
        <f>IF(VLOOKUP($A4,Tabelle1!$A$4:$BU$73,10,0)&lt;&gt;"",I$1,"")</f>
        <v/>
      </c>
      <c r="J4" t="str">
        <f>IF(VLOOKUP($A4,Tabelle1!$A$4:$BU$73,11,0)&lt;&gt;"",J$1,"")</f>
        <v/>
      </c>
      <c r="K4" t="str">
        <f>IF(VLOOKUP($A4,Tabelle1!$A$4:$BU$73,12,0)&lt;&gt;"",K$1,"")</f>
        <v/>
      </c>
      <c r="L4" t="str">
        <f>IF(VLOOKUP($A4,Tabelle1!$A$4:$BU$73,13,0)&lt;&gt;"",L$1,"")</f>
        <v/>
      </c>
      <c r="M4" t="str">
        <f>IF(VLOOKUP($A4,Tabelle1!$A$4:$BU$73,14,0)&lt;&gt;"",M$1,"")</f>
        <v/>
      </c>
      <c r="N4" t="str">
        <f>IF(VLOOKUP($A4,Tabelle1!$A$4:$BU$73,15,0)&lt;&gt;"",N$1,"")</f>
        <v/>
      </c>
      <c r="O4" t="str">
        <f>IF(VLOOKUP($A4,Tabelle1!$A$4:$BU$73,16,0)&lt;&gt;"",O$1,"")</f>
        <v/>
      </c>
      <c r="P4" t="str">
        <f>IF(VLOOKUP($A4,Tabelle1!$A$4:$BU$73,17,0)&lt;&gt;"",P$1,"")</f>
        <v/>
      </c>
      <c r="Q4" t="str">
        <f>IF(VLOOKUP($A4,Tabelle1!$A$4:$BU$73,18,0)&lt;&gt;"",Q$1,"")</f>
        <v/>
      </c>
      <c r="R4" t="str">
        <f>IF(VLOOKUP($A4,Tabelle1!$A$4:$BU$73,19,0)&lt;&gt;"",R$1,"")</f>
        <v/>
      </c>
      <c r="S4" t="str">
        <f>IF(VLOOKUP($A4,Tabelle1!$A$4:$BU$73,20,0)&lt;&gt;"",S$1,"")</f>
        <v/>
      </c>
      <c r="T4" t="str">
        <f>IF(VLOOKUP($A4,Tabelle1!$A$4:$BU$73,21,0)&lt;&gt;"",T$1,"")</f>
        <v/>
      </c>
      <c r="U4" t="str">
        <f>IF(VLOOKUP($A4,Tabelle1!$A$4:$BU$73,22,0)&lt;&gt;"",U$1,"")</f>
        <v/>
      </c>
      <c r="V4" t="str">
        <f>IF(VLOOKUP($A4,Tabelle1!$A$4:$BU$73,23,0)&lt;&gt;"",V$1,"")</f>
        <v/>
      </c>
      <c r="W4" t="str">
        <f>IF(VLOOKUP($A4,Tabelle1!$A$4:$BU$73,24,0)&lt;&gt;"",W$1,"")</f>
        <v/>
      </c>
      <c r="X4" t="str">
        <f>IF(VLOOKUP($A4,Tabelle1!$A$4:$BU$73,25,0)&lt;&gt;"",X$1,"")</f>
        <v/>
      </c>
      <c r="Y4" t="str">
        <f>IF(VLOOKUP($A4,Tabelle1!$A$4:$BU$73,26,0)&lt;&gt;"",Y$1,"")</f>
        <v/>
      </c>
      <c r="Z4" t="str">
        <f>IF(VLOOKUP($A4,Tabelle1!$A$4:$BU$73,27,0)&lt;&gt;"",Z$1,"")</f>
        <v/>
      </c>
      <c r="AA4" t="str">
        <f>IF(VLOOKUP($A4,Tabelle1!$A$4:$BU$73,28,0)&lt;&gt;"",AA$1,"")</f>
        <v/>
      </c>
      <c r="AB4" t="str">
        <f>IF(VLOOKUP($A4,Tabelle1!$A$4:$BU$73,29,0)&lt;&gt;"",AB$1,"")</f>
        <v>Meliorationsrettich</v>
      </c>
      <c r="AC4" t="str">
        <f>IF(VLOOKUP($A4,Tabelle1!$A$4:$BU$73,30,0)&lt;&gt;"",AC$1,"")</f>
        <v>Schwarzsamen/Ramtilkraut/Gingellikraut/Mungo</v>
      </c>
      <c r="AD4" t="str">
        <f>IF(VLOOKUP($A4,Tabelle1!$A$4:$BU$73,31,0)&lt;&gt;"",AD$1,"")</f>
        <v>Öllein</v>
      </c>
      <c r="AE4" t="str">
        <f>IF(VLOOKUP($A4,Tabelle1!$A$4:$BU$73,32,0)&lt;&gt;"",AE$1,"")</f>
        <v/>
      </c>
      <c r="AF4" t="str">
        <f>IF(VLOOKUP($A4,Tabelle1!$A$4:$BU$73,33,0)&lt;&gt;"",AF$1,"")</f>
        <v/>
      </c>
      <c r="AG4" t="str">
        <f>IF(VLOOKUP($A4,Tabelle1!$A$4:$BU$73,34,0)&lt;&gt;"",AG$1,"")</f>
        <v/>
      </c>
      <c r="AH4" t="str">
        <f>IF(VLOOKUP($A4,Tabelle1!$A$4:$BU$73,35,0)&lt;&gt;"",AH$1,"")</f>
        <v>Phazelie</v>
      </c>
      <c r="AI4" t="str">
        <f>IF(VLOOKUP($A4,Tabelle1!$A$4:$BU$73,36,0)&lt;&gt;"",AI$1,"")</f>
        <v/>
      </c>
      <c r="AJ4" t="str">
        <f>IF(VLOOKUP($A4,Tabelle1!$A$4:$BU$73,37,0)&lt;&gt;"",AJ$1,"")</f>
        <v/>
      </c>
      <c r="AK4" t="str">
        <f>IF(VLOOKUP($A4,Tabelle1!$A$4:$BU$73,38,0)&lt;&gt;"",AK$1,"")</f>
        <v/>
      </c>
      <c r="AL4" t="str">
        <f>IF(VLOOKUP($A4,Tabelle1!$A$4:$BU$73,39,0)&lt;&gt;"",AL$1,"")</f>
        <v/>
      </c>
      <c r="AM4" t="str">
        <f>IF(VLOOKUP($A4,Tabelle1!$A$4:$BU$73,40,0)&lt;&gt;"",AM$1,"")</f>
        <v/>
      </c>
      <c r="AN4" t="str">
        <f>IF(VLOOKUP($A4,Tabelle1!$A$4:$BU$73,41,0)&lt;&gt;"",AN$1,"")</f>
        <v>Saflor</v>
      </c>
      <c r="AO4" t="str">
        <f>IF(VLOOKUP($A4,Tabelle1!$A$4:$BU$73,42,0)&lt;&gt;"",AO$1,"")</f>
        <v/>
      </c>
      <c r="AP4" t="str">
        <f>IF(VLOOKUP($A4,Tabelle1!$A$4:$BU$73,43,0)&lt;&gt;"",AP$1,"")</f>
        <v/>
      </c>
      <c r="AQ4" t="str">
        <f>IF(VLOOKUP($A4,Tabelle1!$A$4:$BU$73,44,0)&lt;&gt;"",AQ$1,"")</f>
        <v/>
      </c>
      <c r="AR4" t="str">
        <f>IF(VLOOKUP($A4,Tabelle1!$A$4:$BU$73,45,0)&lt;&gt;"",AR$1,"")</f>
        <v/>
      </c>
      <c r="AS4" t="str">
        <f>IF(VLOOKUP($A4,Tabelle1!$A$4:$BU$73,46,0)&lt;&gt;"",AS$1,"")</f>
        <v/>
      </c>
      <c r="AT4" t="str">
        <f>IF(VLOOKUP($A4,Tabelle1!$A$4:$BU$73,47,0)&lt;&gt;"",AT$1,"")</f>
        <v/>
      </c>
      <c r="AU4" t="str">
        <f>IF(VLOOKUP($A4,Tabelle1!$A$4:$BU$73,48,0)&lt;&gt;"",AU$1,"")</f>
        <v/>
      </c>
      <c r="AV4" t="str">
        <f>IF(VLOOKUP($A4,Tabelle1!$A$4:$BU$73,49,0)&lt;&gt;"",AV$1,"")</f>
        <v/>
      </c>
      <c r="AW4" t="str">
        <f>IF(VLOOKUP($A4,Tabelle1!$A$4:$BU$73,50,0)&lt;&gt;"",AW$1,"")</f>
        <v/>
      </c>
      <c r="AX4" t="str">
        <f>IF(VLOOKUP($A4,Tabelle1!$A$4:$BU$73,51,0)&lt;&gt;"",AX$1,"")</f>
        <v>Sudangras</v>
      </c>
      <c r="AY4" t="str">
        <f>IF(VLOOKUP($A4,Tabelle1!$A$4:$BU$73,52,0)&lt;&gt;"",AY$1,"")</f>
        <v/>
      </c>
      <c r="AZ4" t="str">
        <f>IF(VLOOKUP($A4,Tabelle1!$A$4:$BU$73,53,0)&lt;&gt;"",AZ$1,"")</f>
        <v/>
      </c>
      <c r="BA4" t="str">
        <f>IF(VLOOKUP($A4,Tabelle1!$A$4:$BU$73,54,0)&lt;&gt;"",BA$1,"")</f>
        <v/>
      </c>
      <c r="BB4" t="str">
        <f>IF(VLOOKUP($A4,Tabelle1!$A$4:$BU$73,55,0)&lt;&gt;"",BB$1,"")</f>
        <v/>
      </c>
      <c r="BC4" t="str">
        <f>IF(VLOOKUP($A4,Tabelle1!$A$4:$BU$73,56,0)&lt;&gt;"",BC$1,"")</f>
        <v/>
      </c>
      <c r="BD4" t="str">
        <f>IF(VLOOKUP($A4,Tabelle1!$A$4:$BU$73,57,0)&lt;&gt;"",BD$1,"")</f>
        <v/>
      </c>
      <c r="BE4" t="str">
        <f>IF(VLOOKUP($A4,Tabelle1!$A$4:$BU$73,58,0)&lt;&gt;"",BE$1,"")</f>
        <v/>
      </c>
      <c r="BF4" t="str">
        <f>IF(VLOOKUP($A4,Tabelle1!$A$4:$BU$73,59,0)&lt;&gt;"",BF$1,"")</f>
        <v/>
      </c>
      <c r="BG4" t="str">
        <f>IF(VLOOKUP($A4,Tabelle1!$A$4:$BU$73,60,0)&lt;&gt;"",BG$1,"")</f>
        <v>Duringras</v>
      </c>
      <c r="BH4" t="str">
        <f>IF(VLOOKUP($A4,Tabelle1!$A$4:$BU$73,61,0)&lt;&gt;"",BH$1,"")</f>
        <v/>
      </c>
      <c r="BI4" t="str">
        <f>IF(VLOOKUP($A4,Tabelle1!$A$4:$BU$73,62,0)&lt;&gt;"",BI$1,"")</f>
        <v/>
      </c>
      <c r="BJ4" t="str">
        <f>IF(VLOOKUP($A4,Tabelle1!$A$4:$BU$73,63,0)&lt;&gt;"",BJ$1,"")</f>
        <v/>
      </c>
      <c r="BK4" t="str">
        <f>IF(VLOOKUP($A4,Tabelle1!$A$4:$BU$73,64,0)&lt;&gt;"",BK$1,"")</f>
        <v/>
      </c>
      <c r="BL4" t="str">
        <f>IF(VLOOKUP($A4,Tabelle1!$A$4:$BU$73,65,0)&lt;&gt;"",BL$1,"")</f>
        <v/>
      </c>
      <c r="BM4" t="str">
        <f>IF(VLOOKUP($A4,Tabelle1!$A$4:$BU$73,66,0)&lt;&gt;"",BM$1,"")</f>
        <v/>
      </c>
      <c r="BN4" t="str">
        <f>IF(VLOOKUP($A4,Tabelle1!$A$4:$BU$73,67,0)&lt;&gt;"",BN$1,"")</f>
        <v/>
      </c>
      <c r="BO4" t="str">
        <f>IF(VLOOKUP($A4,Tabelle1!$A$4:$BU$73,68,0)&lt;&gt;"",BO$1,"")</f>
        <v/>
      </c>
      <c r="BP4" t="str">
        <f>IF(VLOOKUP($A4,Tabelle1!$A$4:$BU$73,69,0)&lt;&gt;"",BP$1,"")</f>
        <v/>
      </c>
      <c r="BQ4" t="str">
        <f>IF(VLOOKUP($A4,Tabelle1!$A$4:$BU$73,70,0)&lt;&gt;"",BQ$1,"")</f>
        <v/>
      </c>
      <c r="BR4" t="str">
        <f>IF(VLOOKUP($A4,Tabelle1!$A$4:$BU$73,71,0)&lt;&gt;"",BR$1,"")</f>
        <v/>
      </c>
      <c r="BS4" t="str">
        <f>IF(VLOOKUP($A4,Tabelle1!$A$4:$BU$73,72,0)&lt;&gt;"",BS$1,"")</f>
        <v/>
      </c>
      <c r="BT4" t="str">
        <f>IF(VLOOKUP($A4,Tabelle1!$A$4:$BU$73,73,0)&lt;&gt;"",BT$1,"")</f>
        <v/>
      </c>
    </row>
    <row r="5" spans="1:73" x14ac:dyDescent="0.2">
      <c r="A5" t="s">
        <v>875</v>
      </c>
      <c r="B5">
        <v>40</v>
      </c>
      <c r="C5" s="214">
        <v>4.3504999999999994</v>
      </c>
      <c r="D5" t="str">
        <f>IF(VLOOKUP($A5,Tabelle1!$A$4:$BU$73,5,0)&lt;&gt;"",D$1,"")</f>
        <v/>
      </c>
      <c r="E5" t="str">
        <f>IF(VLOOKUP($A5,Tabelle1!$A$4:$BU$73,6,0)&lt;&gt;"",E$1,"")</f>
        <v/>
      </c>
      <c r="F5" t="str">
        <f>IF(VLOOKUP($A5,Tabelle1!$A$4:$BU$73,7,0)&lt;&gt;"",F$1,"")</f>
        <v>Alexandrinerklee</v>
      </c>
      <c r="G5" t="str">
        <f>IF(VLOOKUP($A5,Tabelle1!$A$4:$BU$73,8,0)&lt;&gt;"",G$1,"")</f>
        <v>Bastardraygras</v>
      </c>
      <c r="H5" t="str">
        <f>IF(VLOOKUP($A5,Tabelle1!$A$4:$BU$73,9,0)&lt;&gt;"",H$1,"")</f>
        <v/>
      </c>
      <c r="I5" t="str">
        <f>IF(VLOOKUP($A5,Tabelle1!$A$4:$BU$73,10,0)&lt;&gt;"",I$1,"")</f>
        <v/>
      </c>
      <c r="J5" t="str">
        <f>IF(VLOOKUP($A5,Tabelle1!$A$4:$BU$73,11,0)&lt;&gt;"",J$1,"")</f>
        <v>Einjähriges Raygras (Westerwoldisches Raygras)</v>
      </c>
      <c r="K5" t="str">
        <f>IF(VLOOKUP($A5,Tabelle1!$A$4:$BU$73,12,0)&lt;&gt;"",K$1,"")</f>
        <v/>
      </c>
      <c r="L5" t="str">
        <f>IF(VLOOKUP($A5,Tabelle1!$A$4:$BU$73,13,0)&lt;&gt;"",L$1,"")</f>
        <v/>
      </c>
      <c r="M5" t="str">
        <f>IF(VLOOKUP($A5,Tabelle1!$A$4:$BU$73,14,0)&lt;&gt;"",M$1,"")</f>
        <v/>
      </c>
      <c r="N5" t="str">
        <f>IF(VLOOKUP($A5,Tabelle1!$A$4:$BU$73,15,0)&lt;&gt;"",N$1,"")</f>
        <v/>
      </c>
      <c r="O5" t="str">
        <f>IF(VLOOKUP($A5,Tabelle1!$A$4:$BU$73,16,0)&lt;&gt;"",O$1,"")</f>
        <v/>
      </c>
      <c r="P5" t="str">
        <f>IF(VLOOKUP($A5,Tabelle1!$A$4:$BU$73,17,0)&lt;&gt;"",P$1,"")</f>
        <v/>
      </c>
      <c r="Q5" t="str">
        <f>IF(VLOOKUP($A5,Tabelle1!$A$4:$BU$73,18,0)&lt;&gt;"",Q$1,"")</f>
        <v/>
      </c>
      <c r="R5" t="str">
        <f>IF(VLOOKUP($A5,Tabelle1!$A$4:$BU$73,19,0)&lt;&gt;"",R$1,"")</f>
        <v/>
      </c>
      <c r="S5" t="str">
        <f>IF(VLOOKUP($A5,Tabelle1!$A$4:$BU$73,20,0)&lt;&gt;"",S$1,"")</f>
        <v/>
      </c>
      <c r="T5" t="str">
        <f>IF(VLOOKUP($A5,Tabelle1!$A$4:$BU$73,21,0)&lt;&gt;"",T$1,"")</f>
        <v>Inkarnatklee</v>
      </c>
      <c r="U5" t="str">
        <f>IF(VLOOKUP($A5,Tabelle1!$A$4:$BU$73,22,0)&lt;&gt;"",U$1,"")</f>
        <v>Italienisches Raygras (Welsches Weidelgras)</v>
      </c>
      <c r="V5" t="str">
        <f>IF(VLOOKUP($A5,Tabelle1!$A$4:$BU$73,23,0)&lt;&gt;"",V$1,"")</f>
        <v/>
      </c>
      <c r="W5" t="str">
        <f>IF(VLOOKUP($A5,Tabelle1!$A$4:$BU$73,24,0)&lt;&gt;"",W$1,"")</f>
        <v/>
      </c>
      <c r="X5" t="str">
        <f>IF(VLOOKUP($A5,Tabelle1!$A$4:$BU$73,25,0)&lt;&gt;"",X$1,"")</f>
        <v/>
      </c>
      <c r="Y5" t="str">
        <f>IF(VLOOKUP($A5,Tabelle1!$A$4:$BU$73,26,0)&lt;&gt;"",Y$1,"")</f>
        <v/>
      </c>
      <c r="Z5" t="str">
        <f>IF(VLOOKUP($A5,Tabelle1!$A$4:$BU$73,27,0)&lt;&gt;"",Z$1,"")</f>
        <v/>
      </c>
      <c r="AA5" t="str">
        <f>IF(VLOOKUP($A5,Tabelle1!$A$4:$BU$73,28,0)&lt;&gt;"",AA$1,"")</f>
        <v/>
      </c>
      <c r="AB5" t="str">
        <f>IF(VLOOKUP($A5,Tabelle1!$A$4:$BU$73,29,0)&lt;&gt;"",AB$1,"")</f>
        <v/>
      </c>
      <c r="AC5" t="str">
        <f>IF(VLOOKUP($A5,Tabelle1!$A$4:$BU$73,30,0)&lt;&gt;"",AC$1,"")</f>
        <v/>
      </c>
      <c r="AD5" t="str">
        <f>IF(VLOOKUP($A5,Tabelle1!$A$4:$BU$73,31,0)&lt;&gt;"",AD$1,"")</f>
        <v/>
      </c>
      <c r="AE5" t="str">
        <f>IF(VLOOKUP($A5,Tabelle1!$A$4:$BU$73,32,0)&lt;&gt;"",AE$1,"")</f>
        <v/>
      </c>
      <c r="AF5" t="str">
        <f>IF(VLOOKUP($A5,Tabelle1!$A$4:$BU$73,33,0)&lt;&gt;"",AF$1,"")</f>
        <v/>
      </c>
      <c r="AG5" t="str">
        <f>IF(VLOOKUP($A5,Tabelle1!$A$4:$BU$73,34,0)&lt;&gt;"",AG$1,"")</f>
        <v/>
      </c>
      <c r="AH5" t="str">
        <f>IF(VLOOKUP($A5,Tabelle1!$A$4:$BU$73,35,0)&lt;&gt;"",AH$1,"")</f>
        <v/>
      </c>
      <c r="AI5" t="str">
        <f>IF(VLOOKUP($A5,Tabelle1!$A$4:$BU$73,36,0)&lt;&gt;"",AI$1,"")</f>
        <v/>
      </c>
      <c r="AJ5" t="str">
        <f>IF(VLOOKUP($A5,Tabelle1!$A$4:$BU$73,37,0)&lt;&gt;"",AJ$1,"")</f>
        <v/>
      </c>
      <c r="AK5" t="str">
        <f>IF(VLOOKUP($A5,Tabelle1!$A$4:$BU$73,38,0)&lt;&gt;"",AK$1,"")</f>
        <v/>
      </c>
      <c r="AL5" t="str">
        <f>IF(VLOOKUP($A5,Tabelle1!$A$4:$BU$73,39,0)&lt;&gt;"",AL$1,"")</f>
        <v/>
      </c>
      <c r="AM5" t="str">
        <f>IF(VLOOKUP($A5,Tabelle1!$A$4:$BU$73,40,0)&lt;&gt;"",AM$1,"")</f>
        <v/>
      </c>
      <c r="AN5" t="str">
        <f>IF(VLOOKUP($A5,Tabelle1!$A$4:$BU$73,41,0)&lt;&gt;"",AN$1,"")</f>
        <v/>
      </c>
      <c r="AO5" t="str">
        <f>IF(VLOOKUP($A5,Tabelle1!$A$4:$BU$73,42,0)&lt;&gt;"",AO$1,"")</f>
        <v/>
      </c>
      <c r="AP5" t="str">
        <f>IF(VLOOKUP($A5,Tabelle1!$A$4:$BU$73,43,0)&lt;&gt;"",AP$1,"")</f>
        <v/>
      </c>
      <c r="AQ5" t="str">
        <f>IF(VLOOKUP($A5,Tabelle1!$A$4:$BU$73,44,0)&lt;&gt;"",AQ$1,"")</f>
        <v/>
      </c>
      <c r="AR5" t="str">
        <f>IF(VLOOKUP($A5,Tabelle1!$A$4:$BU$73,45,0)&lt;&gt;"",AR$1,"")</f>
        <v/>
      </c>
      <c r="AS5" t="str">
        <f>IF(VLOOKUP($A5,Tabelle1!$A$4:$BU$73,46,0)&lt;&gt;"",AS$1,"")</f>
        <v/>
      </c>
      <c r="AT5" t="str">
        <f>IF(VLOOKUP($A5,Tabelle1!$A$4:$BU$73,47,0)&lt;&gt;"",AT$1,"")</f>
        <v/>
      </c>
      <c r="AU5" t="str">
        <f>IF(VLOOKUP($A5,Tabelle1!$A$4:$BU$73,48,0)&lt;&gt;"",AU$1,"")</f>
        <v/>
      </c>
      <c r="AV5" t="str">
        <f>IF(VLOOKUP($A5,Tabelle1!$A$4:$BU$73,49,0)&lt;&gt;"",AV$1,"")</f>
        <v/>
      </c>
      <c r="AW5" t="str">
        <f>IF(VLOOKUP($A5,Tabelle1!$A$4:$BU$73,50,0)&lt;&gt;"",AW$1,"")</f>
        <v/>
      </c>
      <c r="AX5" t="str">
        <f>IF(VLOOKUP($A5,Tabelle1!$A$4:$BU$73,51,0)&lt;&gt;"",AX$1,"")</f>
        <v/>
      </c>
      <c r="AY5" t="str">
        <f>IF(VLOOKUP($A5,Tabelle1!$A$4:$BU$73,52,0)&lt;&gt;"",AY$1,"")</f>
        <v/>
      </c>
      <c r="AZ5" t="str">
        <f>IF(VLOOKUP($A5,Tabelle1!$A$4:$BU$73,53,0)&lt;&gt;"",AZ$1,"")</f>
        <v/>
      </c>
      <c r="BA5" t="str">
        <f>IF(VLOOKUP($A5,Tabelle1!$A$4:$BU$73,54,0)&lt;&gt;"",BA$1,"")</f>
        <v/>
      </c>
      <c r="BB5" t="str">
        <f>IF(VLOOKUP($A5,Tabelle1!$A$4:$BU$73,55,0)&lt;&gt;"",BB$1,"")</f>
        <v/>
      </c>
      <c r="BC5" t="str">
        <f>IF(VLOOKUP($A5,Tabelle1!$A$4:$BU$73,56,0)&lt;&gt;"",BC$1,"")</f>
        <v/>
      </c>
      <c r="BD5" t="str">
        <f>IF(VLOOKUP($A5,Tabelle1!$A$4:$BU$73,57,0)&lt;&gt;"",BD$1,"")</f>
        <v/>
      </c>
      <c r="BE5" t="str">
        <f>IF(VLOOKUP($A5,Tabelle1!$A$4:$BU$73,58,0)&lt;&gt;"",BE$1,"")</f>
        <v/>
      </c>
      <c r="BF5" t="str">
        <f>IF(VLOOKUP($A5,Tabelle1!$A$4:$BU$73,59,0)&lt;&gt;"",BF$1,"")</f>
        <v/>
      </c>
      <c r="BG5" t="str">
        <f>IF(VLOOKUP($A5,Tabelle1!$A$4:$BU$73,60,0)&lt;&gt;"",BG$1,"")</f>
        <v/>
      </c>
      <c r="BH5" t="str">
        <f>IF(VLOOKUP($A5,Tabelle1!$A$4:$BU$73,61,0)&lt;&gt;"",BH$1,"")</f>
        <v/>
      </c>
      <c r="BI5" t="str">
        <f>IF(VLOOKUP($A5,Tabelle1!$A$4:$BU$73,62,0)&lt;&gt;"",BI$1,"")</f>
        <v/>
      </c>
      <c r="BJ5" t="str">
        <f>IF(VLOOKUP($A5,Tabelle1!$A$4:$BU$73,63,0)&lt;&gt;"",BJ$1,"")</f>
        <v/>
      </c>
      <c r="BK5" t="str">
        <f>IF(VLOOKUP($A5,Tabelle1!$A$4:$BU$73,64,0)&lt;&gt;"",BK$1,"")</f>
        <v/>
      </c>
      <c r="BL5" t="str">
        <f>IF(VLOOKUP($A5,Tabelle1!$A$4:$BU$73,65,0)&lt;&gt;"",BL$1,"")</f>
        <v/>
      </c>
      <c r="BM5" t="str">
        <f>IF(VLOOKUP($A5,Tabelle1!$A$4:$BU$73,66,0)&lt;&gt;"",BM$1,"")</f>
        <v/>
      </c>
      <c r="BN5" t="str">
        <f>IF(VLOOKUP($A5,Tabelle1!$A$4:$BU$73,67,0)&lt;&gt;"",BN$1,"")</f>
        <v/>
      </c>
      <c r="BO5" t="str">
        <f>IF(VLOOKUP($A5,Tabelle1!$A$4:$BU$73,68,0)&lt;&gt;"",BO$1,"")</f>
        <v/>
      </c>
      <c r="BP5" t="str">
        <f>IF(VLOOKUP($A5,Tabelle1!$A$4:$BU$73,69,0)&lt;&gt;"",BP$1,"")</f>
        <v/>
      </c>
      <c r="BQ5" t="str">
        <f>IF(VLOOKUP($A5,Tabelle1!$A$4:$BU$73,70,0)&lt;&gt;"",BQ$1,"")</f>
        <v/>
      </c>
      <c r="BR5" t="str">
        <f>IF(VLOOKUP($A5,Tabelle1!$A$4:$BU$73,71,0)&lt;&gt;"",BR$1,"")</f>
        <v/>
      </c>
      <c r="BS5" t="str">
        <f>IF(VLOOKUP($A5,Tabelle1!$A$4:$BU$73,72,0)&lt;&gt;"",BS$1,"")</f>
        <v/>
      </c>
      <c r="BT5" t="str">
        <f>IF(VLOOKUP($A5,Tabelle1!$A$4:$BU$73,73,0)&lt;&gt;"",BT$1,"")</f>
        <v/>
      </c>
    </row>
    <row r="6" spans="1:73" x14ac:dyDescent="0.2">
      <c r="A6" t="s">
        <v>442</v>
      </c>
      <c r="B6">
        <v>40</v>
      </c>
      <c r="C6" s="214">
        <v>6.7122000000000002</v>
      </c>
      <c r="D6" t="str">
        <f>IF(VLOOKUP($A6,Tabelle1!$A$4:$BU$73,5,0)&lt;&gt;"",D$1,"")</f>
        <v/>
      </c>
      <c r="E6" t="str">
        <f>IF(VLOOKUP($A6,Tabelle1!$A$4:$BU$73,6,0)&lt;&gt;"",E$1,"")</f>
        <v/>
      </c>
      <c r="F6" t="str">
        <f>IF(VLOOKUP($A6,Tabelle1!$A$4:$BU$73,7,0)&lt;&gt;"",F$1,"")</f>
        <v/>
      </c>
      <c r="G6" t="str">
        <f>IF(VLOOKUP($A6,Tabelle1!$A$4:$BU$73,8,0)&lt;&gt;"",G$1,"")</f>
        <v/>
      </c>
      <c r="H6" t="str">
        <f>IF(VLOOKUP($A6,Tabelle1!$A$4:$BU$73,9,0)&lt;&gt;"",H$1,"")</f>
        <v/>
      </c>
      <c r="I6" t="str">
        <f>IF(VLOOKUP($A6,Tabelle1!$A$4:$BU$73,10,0)&lt;&gt;"",I$1,"")</f>
        <v xml:space="preserve">Buchweizen </v>
      </c>
      <c r="J6" t="str">
        <f>IF(VLOOKUP($A6,Tabelle1!$A$4:$BU$73,11,0)&lt;&gt;"",J$1,"")</f>
        <v/>
      </c>
      <c r="K6" t="str">
        <f>IF(VLOOKUP($A6,Tabelle1!$A$4:$BU$73,12,0)&lt;&gt;"",K$1,"")</f>
        <v/>
      </c>
      <c r="L6" t="str">
        <f>IF(VLOOKUP($A6,Tabelle1!$A$4:$BU$73,13,0)&lt;&gt;"",L$1,"")</f>
        <v>Esparsette</v>
      </c>
      <c r="M6" t="str">
        <f>IF(VLOOKUP($A6,Tabelle1!$A$4:$BU$73,14,0)&lt;&gt;"",M$1,"")</f>
        <v/>
      </c>
      <c r="N6" t="str">
        <f>IF(VLOOKUP($A6,Tabelle1!$A$4:$BU$73,15,0)&lt;&gt;"",N$1,"")</f>
        <v/>
      </c>
      <c r="O6" t="str">
        <f>IF(VLOOKUP($A6,Tabelle1!$A$4:$BU$73,16,0)&lt;&gt;"",O$1,"")</f>
        <v>Gelbklee (Hopfenklee)</v>
      </c>
      <c r="P6" t="str">
        <f>IF(VLOOKUP($A6,Tabelle1!$A$4:$BU$73,17,0)&lt;&gt;"",P$1,"")</f>
        <v/>
      </c>
      <c r="Q6" t="str">
        <f>IF(VLOOKUP($A6,Tabelle1!$A$4:$BU$73,18,0)&lt;&gt;"",Q$1,"")</f>
        <v/>
      </c>
      <c r="R6" t="str">
        <f>IF(VLOOKUP($A6,Tabelle1!$A$4:$BU$73,19,0)&lt;&gt;"",R$1,"")</f>
        <v>Hirse</v>
      </c>
      <c r="S6" t="str">
        <f>IF(VLOOKUP($A6,Tabelle1!$A$4:$BU$73,20,0)&lt;&gt;"",S$1,"")</f>
        <v/>
      </c>
      <c r="T6" t="str">
        <f>IF(VLOOKUP($A6,Tabelle1!$A$4:$BU$73,21,0)&lt;&gt;"",T$1,"")</f>
        <v>Inkarnatklee</v>
      </c>
      <c r="U6" t="str">
        <f>IF(VLOOKUP($A6,Tabelle1!$A$4:$BU$73,22,0)&lt;&gt;"",U$1,"")</f>
        <v/>
      </c>
      <c r="V6" t="str">
        <f>IF(VLOOKUP($A6,Tabelle1!$A$4:$BU$73,23,0)&lt;&gt;"",V$1,"")</f>
        <v/>
      </c>
      <c r="W6" t="str">
        <f>IF(VLOOKUP($A6,Tabelle1!$A$4:$BU$73,24,0)&lt;&gt;"",W$1,"")</f>
        <v/>
      </c>
      <c r="X6" t="str">
        <f>IF(VLOOKUP($A6,Tabelle1!$A$4:$BU$73,25,0)&lt;&gt;"",X$1,"")</f>
        <v>Malve</v>
      </c>
      <c r="Y6" t="str">
        <f>IF(VLOOKUP($A6,Tabelle1!$A$4:$BU$73,26,0)&lt;&gt;"",Y$1,"")</f>
        <v>Leindotter</v>
      </c>
      <c r="Z6" t="str">
        <f>IF(VLOOKUP($A6,Tabelle1!$A$4:$BU$73,27,0)&lt;&gt;"",Z$1,"")</f>
        <v/>
      </c>
      <c r="AA6" t="str">
        <f>IF(VLOOKUP($A6,Tabelle1!$A$4:$BU$73,28,0)&lt;&gt;"",AA$1,"")</f>
        <v>Luzerne</v>
      </c>
      <c r="AB6" t="str">
        <f>IF(VLOOKUP($A6,Tabelle1!$A$4:$BU$73,29,0)&lt;&gt;"",AB$1,"")</f>
        <v/>
      </c>
      <c r="AC6" t="str">
        <f>IF(VLOOKUP($A6,Tabelle1!$A$4:$BU$73,30,0)&lt;&gt;"",AC$1,"")</f>
        <v/>
      </c>
      <c r="AD6" t="str">
        <f>IF(VLOOKUP($A6,Tabelle1!$A$4:$BU$73,31,0)&lt;&gt;"",AD$1,"")</f>
        <v>Öllein</v>
      </c>
      <c r="AE6" t="str">
        <f>IF(VLOOKUP($A6,Tabelle1!$A$4:$BU$73,32,0)&lt;&gt;"",AE$1,"")</f>
        <v/>
      </c>
      <c r="AF6" t="str">
        <f>IF(VLOOKUP($A6,Tabelle1!$A$4:$BU$73,33,0)&lt;&gt;"",AF$1,"")</f>
        <v/>
      </c>
      <c r="AG6" t="str">
        <f>IF(VLOOKUP($A6,Tabelle1!$A$4:$BU$73,34,0)&lt;&gt;"",AG$1,"")</f>
        <v/>
      </c>
      <c r="AH6" t="str">
        <f>IF(VLOOKUP($A6,Tabelle1!$A$4:$BU$73,35,0)&lt;&gt;"",AH$1,"")</f>
        <v/>
      </c>
      <c r="AI6" t="str">
        <f>IF(VLOOKUP($A6,Tabelle1!$A$4:$BU$73,36,0)&lt;&gt;"",AI$1,"")</f>
        <v/>
      </c>
      <c r="AJ6" t="str">
        <f>IF(VLOOKUP($A6,Tabelle1!$A$4:$BU$73,37,0)&lt;&gt;"",AJ$1,"")</f>
        <v/>
      </c>
      <c r="AK6" t="str">
        <f>IF(VLOOKUP($A6,Tabelle1!$A$4:$BU$73,38,0)&lt;&gt;"",AK$1,"")</f>
        <v>Rotklee</v>
      </c>
      <c r="AL6" t="str">
        <f>IF(VLOOKUP($A6,Tabelle1!$A$4:$BU$73,39,0)&lt;&gt;"",AL$1,"")</f>
        <v/>
      </c>
      <c r="AM6" t="str">
        <f>IF(VLOOKUP($A6,Tabelle1!$A$4:$BU$73,40,0)&lt;&gt;"",AM$1,"")</f>
        <v/>
      </c>
      <c r="AN6" t="str">
        <f>IF(VLOOKUP($A6,Tabelle1!$A$4:$BU$73,41,0)&lt;&gt;"",AN$1,"")</f>
        <v/>
      </c>
      <c r="AO6" t="str">
        <f>IF(VLOOKUP($A6,Tabelle1!$A$4:$BU$73,42,0)&lt;&gt;"",AO$1,"")</f>
        <v/>
      </c>
      <c r="AP6" t="str">
        <f>IF(VLOOKUP($A6,Tabelle1!$A$4:$BU$73,43,0)&lt;&gt;"",AP$1,"")</f>
        <v/>
      </c>
      <c r="AQ6" t="str">
        <f>IF(VLOOKUP($A6,Tabelle1!$A$4:$BU$73,44,0)&lt;&gt;"",AQ$1,"")</f>
        <v>Schwedenklee</v>
      </c>
      <c r="AR6" t="str">
        <f>IF(VLOOKUP($A6,Tabelle1!$A$4:$BU$73,45,0)&lt;&gt;"",AR$1,"")</f>
        <v>Senf</v>
      </c>
      <c r="AS6" t="str">
        <f>IF(VLOOKUP($A6,Tabelle1!$A$4:$BU$73,46,0)&lt;&gt;"",AS$1,"")</f>
        <v/>
      </c>
      <c r="AT6" t="str">
        <f>IF(VLOOKUP($A6,Tabelle1!$A$4:$BU$73,47,0)&lt;&gt;"",AT$1,"")</f>
        <v/>
      </c>
      <c r="AU6" t="str">
        <f>IF(VLOOKUP($A6,Tabelle1!$A$4:$BU$73,48,0)&lt;&gt;"",AU$1,"")</f>
        <v>Sonnenblume</v>
      </c>
      <c r="AV6" t="str">
        <f>IF(VLOOKUP($A6,Tabelle1!$A$4:$BU$73,49,0)&lt;&gt;"",AV$1,"")</f>
        <v/>
      </c>
      <c r="AW6" t="str">
        <f>IF(VLOOKUP($A6,Tabelle1!$A$4:$BU$73,50,0)&lt;&gt;"",AW$1,"")</f>
        <v>Steinklee gelb</v>
      </c>
      <c r="AX6" t="str">
        <f>IF(VLOOKUP($A6,Tabelle1!$A$4:$BU$73,51,0)&lt;&gt;"",AX$1,"")</f>
        <v/>
      </c>
      <c r="AY6" t="str">
        <f>IF(VLOOKUP($A6,Tabelle1!$A$4:$BU$73,52,0)&lt;&gt;"",AY$1,"")</f>
        <v/>
      </c>
      <c r="AZ6" t="str">
        <f>IF(VLOOKUP($A6,Tabelle1!$A$4:$BU$73,53,0)&lt;&gt;"",AZ$1,"")</f>
        <v>Weißklee</v>
      </c>
      <c r="BA6" t="str">
        <f>IF(VLOOKUP($A6,Tabelle1!$A$4:$BU$73,54,0)&lt;&gt;"",BA$1,"")</f>
        <v/>
      </c>
      <c r="BB6" t="str">
        <f>IF(VLOOKUP($A6,Tabelle1!$A$4:$BU$73,55,0)&lt;&gt;"",BB$1,"")</f>
        <v/>
      </c>
      <c r="BC6" t="str">
        <f>IF(VLOOKUP($A6,Tabelle1!$A$4:$BU$73,56,0)&lt;&gt;"",BC$1,"")</f>
        <v>Winterrübsen</v>
      </c>
      <c r="BD6" t="str">
        <f>IF(VLOOKUP($A6,Tabelle1!$A$4:$BU$73,57,0)&lt;&gt;"",BD$1,"")</f>
        <v/>
      </c>
      <c r="BE6" t="str">
        <f>IF(VLOOKUP($A6,Tabelle1!$A$4:$BU$73,58,0)&lt;&gt;"",BE$1,"")</f>
        <v/>
      </c>
      <c r="BF6" t="str">
        <f>IF(VLOOKUP($A6,Tabelle1!$A$4:$BU$73,59,0)&lt;&gt;"",BF$1,"")</f>
        <v/>
      </c>
      <c r="BG6" t="str">
        <f>IF(VLOOKUP($A6,Tabelle1!$A$4:$BU$73,60,0)&lt;&gt;"",BG$1,"")</f>
        <v/>
      </c>
      <c r="BH6" t="str">
        <f>IF(VLOOKUP($A6,Tabelle1!$A$4:$BU$73,61,0)&lt;&gt;"",BH$1,"")</f>
        <v/>
      </c>
      <c r="BI6" t="str">
        <f>IF(VLOOKUP($A6,Tabelle1!$A$4:$BU$73,62,0)&lt;&gt;"",BI$1,"")</f>
        <v/>
      </c>
      <c r="BJ6" t="str">
        <f>IF(VLOOKUP($A6,Tabelle1!$A$4:$BU$73,63,0)&lt;&gt;"",BJ$1,"")</f>
        <v/>
      </c>
      <c r="BK6" t="str">
        <f>IF(VLOOKUP($A6,Tabelle1!$A$4:$BU$73,64,0)&lt;&gt;"",BK$1,"")</f>
        <v>Kümmel</v>
      </c>
      <c r="BL6" t="str">
        <f>IF(VLOOKUP($A6,Tabelle1!$A$4:$BU$73,65,0)&lt;&gt;"",BL$1,"")</f>
        <v>Koriander</v>
      </c>
      <c r="BM6" t="str">
        <f>IF(VLOOKUP($A6,Tabelle1!$A$4:$BU$73,66,0)&lt;&gt;"",BM$1,"")</f>
        <v/>
      </c>
      <c r="BN6" t="str">
        <f>IF(VLOOKUP($A6,Tabelle1!$A$4:$BU$73,67,0)&lt;&gt;"",BN$1,"")</f>
        <v>Stoppelrübe</v>
      </c>
      <c r="BO6" t="str">
        <f>IF(VLOOKUP($A6,Tabelle1!$A$4:$BU$73,68,0)&lt;&gt;"",BO$1,"")</f>
        <v>Markstammkohl</v>
      </c>
      <c r="BP6" t="str">
        <f>IF(VLOOKUP($A6,Tabelle1!$A$4:$BU$73,69,0)&lt;&gt;"",BP$1,"")</f>
        <v>Gelbhirse</v>
      </c>
      <c r="BQ6" t="str">
        <f>IF(VLOOKUP($A6,Tabelle1!$A$4:$BU$73,70,0)&lt;&gt;"",BQ$1,"")</f>
        <v/>
      </c>
      <c r="BR6" t="str">
        <f>IF(VLOOKUP($A6,Tabelle1!$A$4:$BU$73,71,0)&lt;&gt;"",BR$1,"")</f>
        <v/>
      </c>
      <c r="BS6" t="str">
        <f>IF(VLOOKUP($A6,Tabelle1!$A$4:$BU$73,72,0)&lt;&gt;"",BS$1,"")</f>
        <v/>
      </c>
      <c r="BT6" t="str">
        <f>IF(VLOOKUP($A6,Tabelle1!$A$4:$BU$73,73,0)&lt;&gt;"",BT$1,"")</f>
        <v/>
      </c>
    </row>
    <row r="7" spans="1:73" x14ac:dyDescent="0.2">
      <c r="A7" t="s">
        <v>53</v>
      </c>
      <c r="B7">
        <v>80</v>
      </c>
      <c r="C7" s="214">
        <v>3.6159999999999997</v>
      </c>
      <c r="D7" t="str">
        <f>IF(VLOOKUP($A7,Tabelle1!$A$4:$BU$73,5,0)&lt;&gt;"",D$1,"")</f>
        <v/>
      </c>
      <c r="E7" t="str">
        <f>IF(VLOOKUP($A7,Tabelle1!$A$4:$BU$73,6,0)&lt;&gt;"",E$1,"")</f>
        <v/>
      </c>
      <c r="F7" t="str">
        <f>IF(VLOOKUP($A7,Tabelle1!$A$4:$BU$73,7,0)&lt;&gt;"",F$1,"")</f>
        <v/>
      </c>
      <c r="G7" t="str">
        <f>IF(VLOOKUP($A7,Tabelle1!$A$4:$BU$73,8,0)&lt;&gt;"",G$1,"")</f>
        <v>Bastardraygras</v>
      </c>
      <c r="H7" t="str">
        <f>IF(VLOOKUP($A7,Tabelle1!$A$4:$BU$73,9,0)&lt;&gt;"",H$1,"")</f>
        <v/>
      </c>
      <c r="I7" t="str">
        <f>IF(VLOOKUP($A7,Tabelle1!$A$4:$BU$73,10,0)&lt;&gt;"",I$1,"")</f>
        <v/>
      </c>
      <c r="J7" t="str">
        <f>IF(VLOOKUP($A7,Tabelle1!$A$4:$BU$73,11,0)&lt;&gt;"",J$1,"")</f>
        <v/>
      </c>
      <c r="K7" t="str">
        <f>IF(VLOOKUP($A7,Tabelle1!$A$4:$BU$73,12,0)&lt;&gt;"",K$1,"")</f>
        <v/>
      </c>
      <c r="L7" t="str">
        <f>IF(VLOOKUP($A7,Tabelle1!$A$4:$BU$73,13,0)&lt;&gt;"",L$1,"")</f>
        <v/>
      </c>
      <c r="M7" t="str">
        <f>IF(VLOOKUP($A7,Tabelle1!$A$4:$BU$73,14,0)&lt;&gt;"",M$1,"")</f>
        <v/>
      </c>
      <c r="N7" t="str">
        <f>IF(VLOOKUP($A7,Tabelle1!$A$4:$BU$73,15,0)&lt;&gt;"",N$1,"")</f>
        <v/>
      </c>
      <c r="O7" t="str">
        <f>IF(VLOOKUP($A7,Tabelle1!$A$4:$BU$73,16,0)&lt;&gt;"",O$1,"")</f>
        <v/>
      </c>
      <c r="P7" t="str">
        <f>IF(VLOOKUP($A7,Tabelle1!$A$4:$BU$73,17,0)&lt;&gt;"",P$1,"")</f>
        <v/>
      </c>
      <c r="Q7" t="str">
        <f>IF(VLOOKUP($A7,Tabelle1!$A$4:$BU$73,18,0)&lt;&gt;"",Q$1,"")</f>
        <v/>
      </c>
      <c r="R7" t="str">
        <f>IF(VLOOKUP($A7,Tabelle1!$A$4:$BU$73,19,0)&lt;&gt;"",R$1,"")</f>
        <v/>
      </c>
      <c r="S7" t="str">
        <f>IF(VLOOKUP($A7,Tabelle1!$A$4:$BU$73,20,0)&lt;&gt;"",S$1,"")</f>
        <v/>
      </c>
      <c r="T7" t="str">
        <f>IF(VLOOKUP($A7,Tabelle1!$A$4:$BU$73,21,0)&lt;&gt;"",T$1,"")</f>
        <v>Inkarnatklee</v>
      </c>
      <c r="U7" t="str">
        <f>IF(VLOOKUP($A7,Tabelle1!$A$4:$BU$73,22,0)&lt;&gt;"",U$1,"")</f>
        <v/>
      </c>
      <c r="V7" t="str">
        <f>IF(VLOOKUP($A7,Tabelle1!$A$4:$BU$73,23,0)&lt;&gt;"",V$1,"")</f>
        <v/>
      </c>
      <c r="W7" t="str">
        <f>IF(VLOOKUP($A7,Tabelle1!$A$4:$BU$73,24,0)&lt;&gt;"",W$1,"")</f>
        <v/>
      </c>
      <c r="X7" t="str">
        <f>IF(VLOOKUP($A7,Tabelle1!$A$4:$BU$73,25,0)&lt;&gt;"",X$1,"")</f>
        <v/>
      </c>
      <c r="Y7" t="str">
        <f>IF(VLOOKUP($A7,Tabelle1!$A$4:$BU$73,26,0)&lt;&gt;"",Y$1,"")</f>
        <v/>
      </c>
      <c r="Z7" t="str">
        <f>IF(VLOOKUP($A7,Tabelle1!$A$4:$BU$73,27,0)&lt;&gt;"",Z$1,"")</f>
        <v/>
      </c>
      <c r="AA7" t="str">
        <f>IF(VLOOKUP($A7,Tabelle1!$A$4:$BU$73,28,0)&lt;&gt;"",AA$1,"")</f>
        <v/>
      </c>
      <c r="AB7" t="str">
        <f>IF(VLOOKUP($A7,Tabelle1!$A$4:$BU$73,29,0)&lt;&gt;"",AB$1,"")</f>
        <v/>
      </c>
      <c r="AC7" t="str">
        <f>IF(VLOOKUP($A7,Tabelle1!$A$4:$BU$73,30,0)&lt;&gt;"",AC$1,"")</f>
        <v/>
      </c>
      <c r="AD7" t="str">
        <f>IF(VLOOKUP($A7,Tabelle1!$A$4:$BU$73,31,0)&lt;&gt;"",AD$1,"")</f>
        <v/>
      </c>
      <c r="AE7" t="str">
        <f>IF(VLOOKUP($A7,Tabelle1!$A$4:$BU$73,32,0)&lt;&gt;"",AE$1,"")</f>
        <v/>
      </c>
      <c r="AF7" t="str">
        <f>IF(VLOOKUP($A7,Tabelle1!$A$4:$BU$73,33,0)&lt;&gt;"",AF$1,"")</f>
        <v/>
      </c>
      <c r="AG7" t="str">
        <f>IF(VLOOKUP($A7,Tabelle1!$A$4:$BU$73,34,0)&lt;&gt;"",AG$1,"")</f>
        <v/>
      </c>
      <c r="AH7" t="str">
        <f>IF(VLOOKUP($A7,Tabelle1!$A$4:$BU$73,35,0)&lt;&gt;"",AH$1,"")</f>
        <v/>
      </c>
      <c r="AI7" t="str">
        <f>IF(VLOOKUP($A7,Tabelle1!$A$4:$BU$73,36,0)&lt;&gt;"",AI$1,"")</f>
        <v/>
      </c>
      <c r="AJ7" t="str">
        <f>IF(VLOOKUP($A7,Tabelle1!$A$4:$BU$73,37,0)&lt;&gt;"",AJ$1,"")</f>
        <v/>
      </c>
      <c r="AK7" t="str">
        <f>IF(VLOOKUP($A7,Tabelle1!$A$4:$BU$73,38,0)&lt;&gt;"",AK$1,"")</f>
        <v/>
      </c>
      <c r="AL7" t="str">
        <f>IF(VLOOKUP($A7,Tabelle1!$A$4:$BU$73,39,0)&lt;&gt;"",AL$1,"")</f>
        <v/>
      </c>
      <c r="AM7" t="str">
        <f>IF(VLOOKUP($A7,Tabelle1!$A$4:$BU$73,40,0)&lt;&gt;"",AM$1,"")</f>
        <v/>
      </c>
      <c r="AN7" t="str">
        <f>IF(VLOOKUP($A7,Tabelle1!$A$4:$BU$73,41,0)&lt;&gt;"",AN$1,"")</f>
        <v/>
      </c>
      <c r="AO7" t="str">
        <f>IF(VLOOKUP($A7,Tabelle1!$A$4:$BU$73,42,0)&lt;&gt;"",AO$1,"")</f>
        <v/>
      </c>
      <c r="AP7" t="str">
        <f>IF(VLOOKUP($A7,Tabelle1!$A$4:$BU$73,43,0)&lt;&gt;"",AP$1,"")</f>
        <v/>
      </c>
      <c r="AQ7" t="str">
        <f>IF(VLOOKUP($A7,Tabelle1!$A$4:$BU$73,44,0)&lt;&gt;"",AQ$1,"")</f>
        <v/>
      </c>
      <c r="AR7" t="str">
        <f>IF(VLOOKUP($A7,Tabelle1!$A$4:$BU$73,45,0)&lt;&gt;"",AR$1,"")</f>
        <v/>
      </c>
      <c r="AS7" t="str">
        <f>IF(VLOOKUP($A7,Tabelle1!$A$4:$BU$73,46,0)&lt;&gt;"",AS$1,"")</f>
        <v/>
      </c>
      <c r="AT7" t="str">
        <f>IF(VLOOKUP($A7,Tabelle1!$A$4:$BU$73,47,0)&lt;&gt;"",AT$1,"")</f>
        <v/>
      </c>
      <c r="AU7" t="str">
        <f>IF(VLOOKUP($A7,Tabelle1!$A$4:$BU$73,48,0)&lt;&gt;"",AU$1,"")</f>
        <v/>
      </c>
      <c r="AV7" t="str">
        <f>IF(VLOOKUP($A7,Tabelle1!$A$4:$BU$73,49,0)&lt;&gt;"",AV$1,"")</f>
        <v/>
      </c>
      <c r="AW7" t="str">
        <f>IF(VLOOKUP($A7,Tabelle1!$A$4:$BU$73,50,0)&lt;&gt;"",AW$1,"")</f>
        <v/>
      </c>
      <c r="AX7" t="str">
        <f>IF(VLOOKUP($A7,Tabelle1!$A$4:$BU$73,51,0)&lt;&gt;"",AX$1,"")</f>
        <v/>
      </c>
      <c r="AY7" t="str">
        <f>IF(VLOOKUP($A7,Tabelle1!$A$4:$BU$73,52,0)&lt;&gt;"",AY$1,"")</f>
        <v/>
      </c>
      <c r="AZ7" t="str">
        <f>IF(VLOOKUP($A7,Tabelle1!$A$4:$BU$73,53,0)&lt;&gt;"",AZ$1,"")</f>
        <v/>
      </c>
      <c r="BA7" t="str">
        <f>IF(VLOOKUP($A7,Tabelle1!$A$4:$BU$73,54,0)&lt;&gt;"",BA$1,"")</f>
        <v/>
      </c>
      <c r="BB7" t="str">
        <f>IF(VLOOKUP($A7,Tabelle1!$A$4:$BU$73,55,0)&lt;&gt;"",BB$1,"")</f>
        <v/>
      </c>
      <c r="BC7" t="str">
        <f>IF(VLOOKUP($A7,Tabelle1!$A$4:$BU$73,56,0)&lt;&gt;"",BC$1,"")</f>
        <v/>
      </c>
      <c r="BD7" t="str">
        <f>IF(VLOOKUP($A7,Tabelle1!$A$4:$BU$73,57,0)&lt;&gt;"",BD$1,"")</f>
        <v>Winterwicke Pannonisch</v>
      </c>
      <c r="BE7" t="str">
        <f>IF(VLOOKUP($A7,Tabelle1!$A$4:$BU$73,58,0)&lt;&gt;"",BE$1,"")</f>
        <v/>
      </c>
      <c r="BF7" t="str">
        <f>IF(VLOOKUP($A7,Tabelle1!$A$4:$BU$73,59,0)&lt;&gt;"",BF$1,"")</f>
        <v/>
      </c>
      <c r="BG7" t="str">
        <f>IF(VLOOKUP($A7,Tabelle1!$A$4:$BU$73,60,0)&lt;&gt;"",BG$1,"")</f>
        <v/>
      </c>
      <c r="BH7" t="str">
        <f>IF(VLOOKUP($A7,Tabelle1!$A$4:$BU$73,61,0)&lt;&gt;"",BH$1,"")</f>
        <v/>
      </c>
      <c r="BI7" t="str">
        <f>IF(VLOOKUP($A7,Tabelle1!$A$4:$BU$73,62,0)&lt;&gt;"",BI$1,"")</f>
        <v/>
      </c>
      <c r="BJ7" t="str">
        <f>IF(VLOOKUP($A7,Tabelle1!$A$4:$BU$73,63,0)&lt;&gt;"",BJ$1,"")</f>
        <v>Sojabohne</v>
      </c>
      <c r="BK7" t="str">
        <f>IF(VLOOKUP($A7,Tabelle1!$A$4:$BU$73,64,0)&lt;&gt;"",BK$1,"")</f>
        <v/>
      </c>
      <c r="BL7" t="str">
        <f>IF(VLOOKUP($A7,Tabelle1!$A$4:$BU$73,65,0)&lt;&gt;"",BL$1,"")</f>
        <v/>
      </c>
      <c r="BM7" t="str">
        <f>IF(VLOOKUP($A7,Tabelle1!$A$4:$BU$73,66,0)&lt;&gt;"",BM$1,"")</f>
        <v/>
      </c>
      <c r="BN7" t="str">
        <f>IF(VLOOKUP($A7,Tabelle1!$A$4:$BU$73,67,0)&lt;&gt;"",BN$1,"")</f>
        <v/>
      </c>
      <c r="BO7" t="str">
        <f>IF(VLOOKUP($A7,Tabelle1!$A$4:$BU$73,68,0)&lt;&gt;"",BO$1,"")</f>
        <v/>
      </c>
      <c r="BP7" t="str">
        <f>IF(VLOOKUP($A7,Tabelle1!$A$4:$BU$73,69,0)&lt;&gt;"",BP$1,"")</f>
        <v/>
      </c>
      <c r="BQ7" t="str">
        <f>IF(VLOOKUP($A7,Tabelle1!$A$4:$BU$73,70,0)&lt;&gt;"",BQ$1,"")</f>
        <v>Grünmais</v>
      </c>
      <c r="BR7" t="str">
        <f>IF(VLOOKUP($A7,Tabelle1!$A$4:$BU$73,71,0)&lt;&gt;"",BR$1,"")</f>
        <v/>
      </c>
      <c r="BS7" t="str">
        <f>IF(VLOOKUP($A7,Tabelle1!$A$4:$BU$73,72,0)&lt;&gt;"",BS$1,"")</f>
        <v/>
      </c>
      <c r="BT7" t="str">
        <f>IF(VLOOKUP($A7,Tabelle1!$A$4:$BU$73,73,0)&lt;&gt;"",BT$1,"")</f>
        <v/>
      </c>
    </row>
    <row r="8" spans="1:73" x14ac:dyDescent="0.2">
      <c r="A8" t="s">
        <v>55</v>
      </c>
      <c r="B8">
        <v>100</v>
      </c>
      <c r="C8" s="214">
        <v>2.2646800000000002</v>
      </c>
      <c r="D8" t="str">
        <f>IF(VLOOKUP($A8,Tabelle1!$A$4:$BU$73,5,0)&lt;&gt;"",D$1,"")</f>
        <v/>
      </c>
      <c r="E8" t="str">
        <f>IF(VLOOKUP($A8,Tabelle1!$A$4:$BU$73,6,0)&lt;&gt;"",E$1,"")</f>
        <v/>
      </c>
      <c r="F8" t="str">
        <f>IF(VLOOKUP($A8,Tabelle1!$A$4:$BU$73,7,0)&lt;&gt;"",F$1,"")</f>
        <v/>
      </c>
      <c r="G8" t="str">
        <f>IF(VLOOKUP($A8,Tabelle1!$A$4:$BU$73,8,0)&lt;&gt;"",G$1,"")</f>
        <v/>
      </c>
      <c r="H8" t="str">
        <f>IF(VLOOKUP($A8,Tabelle1!$A$4:$BU$73,9,0)&lt;&gt;"",H$1,"")</f>
        <v>Lupine</v>
      </c>
      <c r="I8" t="str">
        <f>IF(VLOOKUP($A8,Tabelle1!$A$4:$BU$73,10,0)&lt;&gt;"",I$1,"")</f>
        <v/>
      </c>
      <c r="J8" t="str">
        <f>IF(VLOOKUP($A8,Tabelle1!$A$4:$BU$73,11,0)&lt;&gt;"",J$1,"")</f>
        <v/>
      </c>
      <c r="K8" t="str">
        <f>IF(VLOOKUP($A8,Tabelle1!$A$4:$BU$73,12,0)&lt;&gt;"",K$1,"")</f>
        <v/>
      </c>
      <c r="L8" t="str">
        <f>IF(VLOOKUP($A8,Tabelle1!$A$4:$BU$73,13,0)&lt;&gt;"",L$1,"")</f>
        <v/>
      </c>
      <c r="M8" t="str">
        <f>IF(VLOOKUP($A8,Tabelle1!$A$4:$BU$73,14,0)&lt;&gt;"",M$1,"")</f>
        <v>Futtererbse</v>
      </c>
      <c r="N8" t="str">
        <f>IF(VLOOKUP($A8,Tabelle1!$A$4:$BU$73,15,0)&lt;&gt;"",N$1,"")</f>
        <v/>
      </c>
      <c r="O8" t="str">
        <f>IF(VLOOKUP($A8,Tabelle1!$A$4:$BU$73,16,0)&lt;&gt;"",O$1,"")</f>
        <v/>
      </c>
      <c r="P8" t="str">
        <f>IF(VLOOKUP($A8,Tabelle1!$A$4:$BU$73,17,0)&lt;&gt;"",P$1,"")</f>
        <v/>
      </c>
      <c r="Q8" t="str">
        <f>IF(VLOOKUP($A8,Tabelle1!$A$4:$BU$73,18,0)&lt;&gt;"",Q$1,"")</f>
        <v/>
      </c>
      <c r="R8" t="str">
        <f>IF(VLOOKUP($A8,Tabelle1!$A$4:$BU$73,19,0)&lt;&gt;"",R$1,"")</f>
        <v/>
      </c>
      <c r="S8" t="str">
        <f>IF(VLOOKUP($A8,Tabelle1!$A$4:$BU$73,20,0)&lt;&gt;"",S$1,"")</f>
        <v/>
      </c>
      <c r="T8" t="str">
        <f>IF(VLOOKUP($A8,Tabelle1!$A$4:$BU$73,21,0)&lt;&gt;"",T$1,"")</f>
        <v/>
      </c>
      <c r="U8" t="str">
        <f>IF(VLOOKUP($A8,Tabelle1!$A$4:$BU$73,22,0)&lt;&gt;"",U$1,"")</f>
        <v/>
      </c>
      <c r="V8" t="str">
        <f>IF(VLOOKUP($A8,Tabelle1!$A$4:$BU$73,23,0)&lt;&gt;"",V$1,"")</f>
        <v/>
      </c>
      <c r="W8" t="str">
        <f>IF(VLOOKUP($A8,Tabelle1!$A$4:$BU$73,24,0)&lt;&gt;"",W$1,"")</f>
        <v/>
      </c>
      <c r="X8" t="str">
        <f>IF(VLOOKUP($A8,Tabelle1!$A$4:$BU$73,25,0)&lt;&gt;"",X$1,"")</f>
        <v/>
      </c>
      <c r="Y8" t="str">
        <f>IF(VLOOKUP($A8,Tabelle1!$A$4:$BU$73,26,0)&lt;&gt;"",Y$1,"")</f>
        <v/>
      </c>
      <c r="Z8" t="str">
        <f>IF(VLOOKUP($A8,Tabelle1!$A$4:$BU$73,27,0)&lt;&gt;"",Z$1,"")</f>
        <v/>
      </c>
      <c r="AA8" t="str">
        <f>IF(VLOOKUP($A8,Tabelle1!$A$4:$BU$73,28,0)&lt;&gt;"",AA$1,"")</f>
        <v/>
      </c>
      <c r="AB8" t="str">
        <f>IF(VLOOKUP($A8,Tabelle1!$A$4:$BU$73,29,0)&lt;&gt;"",AB$1,"")</f>
        <v/>
      </c>
      <c r="AC8" t="str">
        <f>IF(VLOOKUP($A8,Tabelle1!$A$4:$BU$73,30,0)&lt;&gt;"",AC$1,"")</f>
        <v/>
      </c>
      <c r="AD8" t="str">
        <f>IF(VLOOKUP($A8,Tabelle1!$A$4:$BU$73,31,0)&lt;&gt;"",AD$1,"")</f>
        <v/>
      </c>
      <c r="AE8" t="str">
        <f>IF(VLOOKUP($A8,Tabelle1!$A$4:$BU$73,32,0)&lt;&gt;"",AE$1,"")</f>
        <v/>
      </c>
      <c r="AF8" t="str">
        <f>IF(VLOOKUP($A8,Tabelle1!$A$4:$BU$73,33,0)&lt;&gt;"",AF$1,"")</f>
        <v/>
      </c>
      <c r="AG8" t="str">
        <f>IF(VLOOKUP($A8,Tabelle1!$A$4:$BU$73,34,0)&lt;&gt;"",AG$1,"")</f>
        <v/>
      </c>
      <c r="AH8" t="str">
        <f>IF(VLOOKUP($A8,Tabelle1!$A$4:$BU$73,35,0)&lt;&gt;"",AH$1,"")</f>
        <v/>
      </c>
      <c r="AI8" t="str">
        <f>IF(VLOOKUP($A8,Tabelle1!$A$4:$BU$73,36,0)&lt;&gt;"",AI$1,"")</f>
        <v/>
      </c>
      <c r="AJ8" t="str">
        <f>IF(VLOOKUP($A8,Tabelle1!$A$4:$BU$73,37,0)&lt;&gt;"",AJ$1,"")</f>
        <v/>
      </c>
      <c r="AK8" t="str">
        <f>IF(VLOOKUP($A8,Tabelle1!$A$4:$BU$73,38,0)&lt;&gt;"",AK$1,"")</f>
        <v/>
      </c>
      <c r="AL8" t="str">
        <f>IF(VLOOKUP($A8,Tabelle1!$A$4:$BU$73,39,0)&lt;&gt;"",AL$1,"")</f>
        <v/>
      </c>
      <c r="AM8" t="str">
        <f>IF(VLOOKUP($A8,Tabelle1!$A$4:$BU$73,40,0)&lt;&gt;"",AM$1,"")</f>
        <v>Saatwicke / Sommerwicke</v>
      </c>
      <c r="AN8" t="str">
        <f>IF(VLOOKUP($A8,Tabelle1!$A$4:$BU$73,41,0)&lt;&gt;"",AN$1,"")</f>
        <v/>
      </c>
      <c r="AO8" t="str">
        <f>IF(VLOOKUP($A8,Tabelle1!$A$4:$BU$73,42,0)&lt;&gt;"",AO$1,"")</f>
        <v/>
      </c>
      <c r="AP8" t="str">
        <f>IF(VLOOKUP($A8,Tabelle1!$A$4:$BU$73,43,0)&lt;&gt;"",AP$1,"")</f>
        <v/>
      </c>
      <c r="AQ8" t="str">
        <f>IF(VLOOKUP($A8,Tabelle1!$A$4:$BU$73,44,0)&lt;&gt;"",AQ$1,"")</f>
        <v/>
      </c>
      <c r="AR8" t="str">
        <f>IF(VLOOKUP($A8,Tabelle1!$A$4:$BU$73,45,0)&lt;&gt;"",AR$1,"")</f>
        <v/>
      </c>
      <c r="AS8" t="str">
        <f>IF(VLOOKUP($A8,Tabelle1!$A$4:$BU$73,46,0)&lt;&gt;"",AS$1,"")</f>
        <v/>
      </c>
      <c r="AT8" t="str">
        <f>IF(VLOOKUP($A8,Tabelle1!$A$4:$BU$73,47,0)&lt;&gt;"",AT$1,"")</f>
        <v/>
      </c>
      <c r="AU8" t="str">
        <f>IF(VLOOKUP($A8,Tabelle1!$A$4:$BU$73,48,0)&lt;&gt;"",AU$1,"")</f>
        <v>Sonnenblume</v>
      </c>
      <c r="AV8" t="str">
        <f>IF(VLOOKUP($A8,Tabelle1!$A$4:$BU$73,49,0)&lt;&gt;"",AV$1,"")</f>
        <v/>
      </c>
      <c r="AW8" t="str">
        <f>IF(VLOOKUP($A8,Tabelle1!$A$4:$BU$73,50,0)&lt;&gt;"",AW$1,"")</f>
        <v/>
      </c>
      <c r="AX8" t="str">
        <f>IF(VLOOKUP($A8,Tabelle1!$A$4:$BU$73,51,0)&lt;&gt;"",AX$1,"")</f>
        <v>Sudangras</v>
      </c>
      <c r="AY8" t="str">
        <f>IF(VLOOKUP($A8,Tabelle1!$A$4:$BU$73,52,0)&lt;&gt;"",AY$1,"")</f>
        <v/>
      </c>
      <c r="AZ8" t="str">
        <f>IF(VLOOKUP($A8,Tabelle1!$A$4:$BU$73,53,0)&lt;&gt;"",AZ$1,"")</f>
        <v/>
      </c>
      <c r="BA8" t="str">
        <f>IF(VLOOKUP($A8,Tabelle1!$A$4:$BU$73,54,0)&lt;&gt;"",BA$1,"")</f>
        <v/>
      </c>
      <c r="BB8" t="str">
        <f>IF(VLOOKUP($A8,Tabelle1!$A$4:$BU$73,55,0)&lt;&gt;"",BB$1,"")</f>
        <v/>
      </c>
      <c r="BC8" t="str">
        <f>IF(VLOOKUP($A8,Tabelle1!$A$4:$BU$73,56,0)&lt;&gt;"",BC$1,"")</f>
        <v/>
      </c>
      <c r="BD8" t="str">
        <f>IF(VLOOKUP($A8,Tabelle1!$A$4:$BU$73,57,0)&lt;&gt;"",BD$1,"")</f>
        <v/>
      </c>
      <c r="BE8" t="str">
        <f>IF(VLOOKUP($A8,Tabelle1!$A$4:$BU$73,58,0)&lt;&gt;"",BE$1,"")</f>
        <v/>
      </c>
      <c r="BF8" t="str">
        <f>IF(VLOOKUP($A8,Tabelle1!$A$4:$BU$73,59,0)&lt;&gt;"",BF$1,"")</f>
        <v/>
      </c>
      <c r="BG8" t="str">
        <f>IF(VLOOKUP($A8,Tabelle1!$A$4:$BU$73,60,0)&lt;&gt;"",BG$1,"")</f>
        <v/>
      </c>
      <c r="BH8" t="str">
        <f>IF(VLOOKUP($A8,Tabelle1!$A$4:$BU$73,61,0)&lt;&gt;"",BH$1,"")</f>
        <v/>
      </c>
      <c r="BI8" t="str">
        <f>IF(VLOOKUP($A8,Tabelle1!$A$4:$BU$73,62,0)&lt;&gt;"",BI$1,"")</f>
        <v/>
      </c>
      <c r="BJ8" t="str">
        <f>IF(VLOOKUP($A8,Tabelle1!$A$4:$BU$73,63,0)&lt;&gt;"",BJ$1,"")</f>
        <v/>
      </c>
      <c r="BK8" t="str">
        <f>IF(VLOOKUP($A8,Tabelle1!$A$4:$BU$73,64,0)&lt;&gt;"",BK$1,"")</f>
        <v/>
      </c>
      <c r="BL8" t="str">
        <f>IF(VLOOKUP($A8,Tabelle1!$A$4:$BU$73,65,0)&lt;&gt;"",BL$1,"")</f>
        <v/>
      </c>
      <c r="BM8" t="str">
        <f>IF(VLOOKUP($A8,Tabelle1!$A$4:$BU$73,66,0)&lt;&gt;"",BM$1,"")</f>
        <v/>
      </c>
      <c r="BN8" t="str">
        <f>IF(VLOOKUP($A8,Tabelle1!$A$4:$BU$73,67,0)&lt;&gt;"",BN$1,"")</f>
        <v/>
      </c>
      <c r="BO8" t="str">
        <f>IF(VLOOKUP($A8,Tabelle1!$A$4:$BU$73,68,0)&lt;&gt;"",BO$1,"")</f>
        <v/>
      </c>
      <c r="BP8" t="str">
        <f>IF(VLOOKUP($A8,Tabelle1!$A$4:$BU$73,69,0)&lt;&gt;"",BP$1,"")</f>
        <v/>
      </c>
      <c r="BQ8" t="str">
        <f>IF(VLOOKUP($A8,Tabelle1!$A$4:$BU$73,70,0)&lt;&gt;"",BQ$1,"")</f>
        <v/>
      </c>
      <c r="BR8" t="str">
        <f>IF(VLOOKUP($A8,Tabelle1!$A$4:$BU$73,71,0)&lt;&gt;"",BR$1,"")</f>
        <v/>
      </c>
      <c r="BS8" t="str">
        <f>IF(VLOOKUP($A8,Tabelle1!$A$4:$BU$73,72,0)&lt;&gt;"",BS$1,"")</f>
        <v/>
      </c>
      <c r="BT8" t="str">
        <f>IF(VLOOKUP($A8,Tabelle1!$A$4:$BU$73,73,0)&lt;&gt;"",BT$1,"")</f>
        <v/>
      </c>
    </row>
    <row r="9" spans="1:73" x14ac:dyDescent="0.2">
      <c r="A9" t="s">
        <v>367</v>
      </c>
      <c r="B9">
        <v>60</v>
      </c>
      <c r="C9" s="214">
        <v>2.7692500000000004</v>
      </c>
      <c r="D9" t="str">
        <f>IF(VLOOKUP($A9,Tabelle1!$A$4:$BU$73,5,0)&lt;&gt;"",D$1,"")</f>
        <v/>
      </c>
      <c r="E9" t="str">
        <f>IF(VLOOKUP($A9,Tabelle1!$A$4:$BU$73,6,0)&lt;&gt;"",E$1,"")</f>
        <v/>
      </c>
      <c r="F9" t="str">
        <f>IF(VLOOKUP($A9,Tabelle1!$A$4:$BU$73,7,0)&lt;&gt;"",F$1,"")</f>
        <v>Alexandrinerklee</v>
      </c>
      <c r="G9" t="str">
        <f>IF(VLOOKUP($A9,Tabelle1!$A$4:$BU$73,8,0)&lt;&gt;"",G$1,"")</f>
        <v/>
      </c>
      <c r="H9" t="str">
        <f>IF(VLOOKUP($A9,Tabelle1!$A$4:$BU$73,9,0)&lt;&gt;"",H$1,"")</f>
        <v/>
      </c>
      <c r="I9" t="str">
        <f>IF(VLOOKUP($A9,Tabelle1!$A$4:$BU$73,10,0)&lt;&gt;"",I$1,"")</f>
        <v/>
      </c>
      <c r="J9" t="str">
        <f>IF(VLOOKUP($A9,Tabelle1!$A$4:$BU$73,11,0)&lt;&gt;"",J$1,"")</f>
        <v/>
      </c>
      <c r="K9" t="str">
        <f>IF(VLOOKUP($A9,Tabelle1!$A$4:$BU$73,12,0)&lt;&gt;"",K$1,"")</f>
        <v/>
      </c>
      <c r="L9" t="str">
        <f>IF(VLOOKUP($A9,Tabelle1!$A$4:$BU$73,13,0)&lt;&gt;"",L$1,"")</f>
        <v/>
      </c>
      <c r="M9" t="str">
        <f>IF(VLOOKUP($A9,Tabelle1!$A$4:$BU$73,14,0)&lt;&gt;"",M$1,"")</f>
        <v>Futtererbse</v>
      </c>
      <c r="N9" t="str">
        <f>IF(VLOOKUP($A9,Tabelle1!$A$4:$BU$73,15,0)&lt;&gt;"",N$1,"")</f>
        <v/>
      </c>
      <c r="O9" t="str">
        <f>IF(VLOOKUP($A9,Tabelle1!$A$4:$BU$73,16,0)&lt;&gt;"",O$1,"")</f>
        <v/>
      </c>
      <c r="P9" t="str">
        <f>IF(VLOOKUP($A9,Tabelle1!$A$4:$BU$73,17,0)&lt;&gt;"",P$1,"")</f>
        <v/>
      </c>
      <c r="Q9" t="str">
        <f>IF(VLOOKUP($A9,Tabelle1!$A$4:$BU$73,18,0)&lt;&gt;"",Q$1,"")</f>
        <v/>
      </c>
      <c r="R9" t="str">
        <f>IF(VLOOKUP($A9,Tabelle1!$A$4:$BU$73,19,0)&lt;&gt;"",R$1,"")</f>
        <v/>
      </c>
      <c r="S9" t="str">
        <f>IF(VLOOKUP($A9,Tabelle1!$A$4:$BU$73,20,0)&lt;&gt;"",S$1,"")</f>
        <v/>
      </c>
      <c r="T9" t="str">
        <f>IF(VLOOKUP($A9,Tabelle1!$A$4:$BU$73,21,0)&lt;&gt;"",T$1,"")</f>
        <v/>
      </c>
      <c r="U9" t="str">
        <f>IF(VLOOKUP($A9,Tabelle1!$A$4:$BU$73,22,0)&lt;&gt;"",U$1,"")</f>
        <v/>
      </c>
      <c r="V9" t="str">
        <f>IF(VLOOKUP($A9,Tabelle1!$A$4:$BU$73,23,0)&lt;&gt;"",V$1,"")</f>
        <v/>
      </c>
      <c r="W9" t="str">
        <f>IF(VLOOKUP($A9,Tabelle1!$A$4:$BU$73,24,0)&lt;&gt;"",W$1,"")</f>
        <v/>
      </c>
      <c r="X9" t="str">
        <f>IF(VLOOKUP($A9,Tabelle1!$A$4:$BU$73,25,0)&lt;&gt;"",X$1,"")</f>
        <v/>
      </c>
      <c r="Y9" t="str">
        <f>IF(VLOOKUP($A9,Tabelle1!$A$4:$BU$73,26,0)&lt;&gt;"",Y$1,"")</f>
        <v/>
      </c>
      <c r="Z9" t="str">
        <f>IF(VLOOKUP($A9,Tabelle1!$A$4:$BU$73,27,0)&lt;&gt;"",Z$1,"")</f>
        <v/>
      </c>
      <c r="AA9" t="str">
        <f>IF(VLOOKUP($A9,Tabelle1!$A$4:$BU$73,28,0)&lt;&gt;"",AA$1,"")</f>
        <v/>
      </c>
      <c r="AB9" t="str">
        <f>IF(VLOOKUP($A9,Tabelle1!$A$4:$BU$73,29,0)&lt;&gt;"",AB$1,"")</f>
        <v>Meliorationsrettich</v>
      </c>
      <c r="AC9" t="str">
        <f>IF(VLOOKUP($A9,Tabelle1!$A$4:$BU$73,30,0)&lt;&gt;"",AC$1,"")</f>
        <v>Schwarzsamen/Ramtilkraut/Gingellikraut/Mungo</v>
      </c>
      <c r="AD9" t="str">
        <f>IF(VLOOKUP($A9,Tabelle1!$A$4:$BU$73,31,0)&lt;&gt;"",AD$1,"")</f>
        <v/>
      </c>
      <c r="AE9" t="str">
        <f>IF(VLOOKUP($A9,Tabelle1!$A$4:$BU$73,32,0)&lt;&gt;"",AE$1,"")</f>
        <v/>
      </c>
      <c r="AF9" t="str">
        <f>IF(VLOOKUP($A9,Tabelle1!$A$4:$BU$73,33,0)&lt;&gt;"",AF$1,"")</f>
        <v/>
      </c>
      <c r="AG9" t="str">
        <f>IF(VLOOKUP($A9,Tabelle1!$A$4:$BU$73,34,0)&lt;&gt;"",AG$1,"")</f>
        <v/>
      </c>
      <c r="AH9" t="str">
        <f>IF(VLOOKUP($A9,Tabelle1!$A$4:$BU$73,35,0)&lt;&gt;"",AH$1,"")</f>
        <v/>
      </c>
      <c r="AI9" t="str">
        <f>IF(VLOOKUP($A9,Tabelle1!$A$4:$BU$73,36,0)&lt;&gt;"",AI$1,"")</f>
        <v>Pigmentplatterbse</v>
      </c>
      <c r="AJ9" t="str">
        <f>IF(VLOOKUP($A9,Tabelle1!$A$4:$BU$73,37,0)&lt;&gt;"",AJ$1,"")</f>
        <v/>
      </c>
      <c r="AK9" t="str">
        <f>IF(VLOOKUP($A9,Tabelle1!$A$4:$BU$73,38,0)&lt;&gt;"",AK$1,"")</f>
        <v/>
      </c>
      <c r="AL9" t="str">
        <f>IF(VLOOKUP($A9,Tabelle1!$A$4:$BU$73,39,0)&lt;&gt;"",AL$1,"")</f>
        <v/>
      </c>
      <c r="AM9" t="str">
        <f>IF(VLOOKUP($A9,Tabelle1!$A$4:$BU$73,40,0)&lt;&gt;"",AM$1,"")</f>
        <v>Saatwicke / Sommerwicke</v>
      </c>
      <c r="AN9" t="str">
        <f>IF(VLOOKUP($A9,Tabelle1!$A$4:$BU$73,41,0)&lt;&gt;"",AN$1,"")</f>
        <v>Saflor</v>
      </c>
      <c r="AO9" t="str">
        <f>IF(VLOOKUP($A9,Tabelle1!$A$4:$BU$73,42,0)&lt;&gt;"",AO$1,"")</f>
        <v/>
      </c>
      <c r="AP9" t="str">
        <f>IF(VLOOKUP($A9,Tabelle1!$A$4:$BU$73,43,0)&lt;&gt;"",AP$1,"")</f>
        <v/>
      </c>
      <c r="AQ9" t="str">
        <f>IF(VLOOKUP($A9,Tabelle1!$A$4:$BU$73,44,0)&lt;&gt;"",AQ$1,"")</f>
        <v/>
      </c>
      <c r="AR9" t="str">
        <f>IF(VLOOKUP($A9,Tabelle1!$A$4:$BU$73,45,0)&lt;&gt;"",AR$1,"")</f>
        <v/>
      </c>
      <c r="AS9" t="str">
        <f>IF(VLOOKUP($A9,Tabelle1!$A$4:$BU$73,46,0)&lt;&gt;"",AS$1,"")</f>
        <v/>
      </c>
      <c r="AT9" t="str">
        <f>IF(VLOOKUP($A9,Tabelle1!$A$4:$BU$73,47,0)&lt;&gt;"",AT$1,"")</f>
        <v/>
      </c>
      <c r="AU9" t="str">
        <f>IF(VLOOKUP($A9,Tabelle1!$A$4:$BU$73,48,0)&lt;&gt;"",AU$1,"")</f>
        <v/>
      </c>
      <c r="AV9" t="str">
        <f>IF(VLOOKUP($A9,Tabelle1!$A$4:$BU$73,49,0)&lt;&gt;"",AV$1,"")</f>
        <v/>
      </c>
      <c r="AW9" t="str">
        <f>IF(VLOOKUP($A9,Tabelle1!$A$4:$BU$73,50,0)&lt;&gt;"",AW$1,"")</f>
        <v/>
      </c>
      <c r="AX9" t="str">
        <f>IF(VLOOKUP($A9,Tabelle1!$A$4:$BU$73,51,0)&lt;&gt;"",AX$1,"")</f>
        <v>Sudangras</v>
      </c>
      <c r="AY9" t="str">
        <f>IF(VLOOKUP($A9,Tabelle1!$A$4:$BU$73,52,0)&lt;&gt;"",AY$1,"")</f>
        <v/>
      </c>
      <c r="AZ9" t="str">
        <f>IF(VLOOKUP($A9,Tabelle1!$A$4:$BU$73,53,0)&lt;&gt;"",AZ$1,"")</f>
        <v/>
      </c>
      <c r="BA9" t="str">
        <f>IF(VLOOKUP($A9,Tabelle1!$A$4:$BU$73,54,0)&lt;&gt;"",BA$1,"")</f>
        <v/>
      </c>
      <c r="BB9" t="str">
        <f>IF(VLOOKUP($A9,Tabelle1!$A$4:$BU$73,55,0)&lt;&gt;"",BB$1,"")</f>
        <v/>
      </c>
      <c r="BC9" t="str">
        <f>IF(VLOOKUP($A9,Tabelle1!$A$4:$BU$73,56,0)&lt;&gt;"",BC$1,"")</f>
        <v/>
      </c>
      <c r="BD9" t="str">
        <f>IF(VLOOKUP($A9,Tabelle1!$A$4:$BU$73,57,0)&lt;&gt;"",BD$1,"")</f>
        <v/>
      </c>
      <c r="BE9" t="str">
        <f>IF(VLOOKUP($A9,Tabelle1!$A$4:$BU$73,58,0)&lt;&gt;"",BE$1,"")</f>
        <v/>
      </c>
      <c r="BF9" t="str">
        <f>IF(VLOOKUP($A9,Tabelle1!$A$4:$BU$73,59,0)&lt;&gt;"",BF$1,"")</f>
        <v/>
      </c>
      <c r="BG9" t="str">
        <f>IF(VLOOKUP($A9,Tabelle1!$A$4:$BU$73,60,0)&lt;&gt;"",BG$1,"")</f>
        <v/>
      </c>
      <c r="BH9" t="str">
        <f>IF(VLOOKUP($A9,Tabelle1!$A$4:$BU$73,61,0)&lt;&gt;"",BH$1,"")</f>
        <v/>
      </c>
      <c r="BI9" t="str">
        <f>IF(VLOOKUP($A9,Tabelle1!$A$4:$BU$73,62,0)&lt;&gt;"",BI$1,"")</f>
        <v/>
      </c>
      <c r="BJ9" t="str">
        <f>IF(VLOOKUP($A9,Tabelle1!$A$4:$BU$73,63,0)&lt;&gt;"",BJ$1,"")</f>
        <v/>
      </c>
      <c r="BK9" t="str">
        <f>IF(VLOOKUP($A9,Tabelle1!$A$4:$BU$73,64,0)&lt;&gt;"",BK$1,"")</f>
        <v/>
      </c>
      <c r="BL9" t="str">
        <f>IF(VLOOKUP($A9,Tabelle1!$A$4:$BU$73,65,0)&lt;&gt;"",BL$1,"")</f>
        <v/>
      </c>
      <c r="BM9" t="str">
        <f>IF(VLOOKUP($A9,Tabelle1!$A$4:$BU$73,66,0)&lt;&gt;"",BM$1,"")</f>
        <v/>
      </c>
      <c r="BN9" t="str">
        <f>IF(VLOOKUP($A9,Tabelle1!$A$4:$BU$73,67,0)&lt;&gt;"",BN$1,"")</f>
        <v/>
      </c>
      <c r="BO9" t="str">
        <f>IF(VLOOKUP($A9,Tabelle1!$A$4:$BU$73,68,0)&lt;&gt;"",BO$1,"")</f>
        <v/>
      </c>
      <c r="BP9" t="str">
        <f>IF(VLOOKUP($A9,Tabelle1!$A$4:$BU$73,69,0)&lt;&gt;"",BP$1,"")</f>
        <v/>
      </c>
      <c r="BQ9" t="str">
        <f>IF(VLOOKUP($A9,Tabelle1!$A$4:$BU$73,70,0)&lt;&gt;"",BQ$1,"")</f>
        <v/>
      </c>
      <c r="BR9" t="str">
        <f>IF(VLOOKUP($A9,Tabelle1!$A$4:$BU$73,71,0)&lt;&gt;"",BR$1,"")</f>
        <v/>
      </c>
      <c r="BS9" t="str">
        <f>IF(VLOOKUP($A9,Tabelle1!$A$4:$BU$73,72,0)&lt;&gt;"",BS$1,"")</f>
        <v/>
      </c>
      <c r="BT9" t="str">
        <f>IF(VLOOKUP($A9,Tabelle1!$A$4:$BU$73,73,0)&lt;&gt;"",BT$1,"")</f>
        <v/>
      </c>
    </row>
    <row r="10" spans="1:73" x14ac:dyDescent="0.2">
      <c r="A10" t="s">
        <v>56</v>
      </c>
      <c r="B10">
        <v>40</v>
      </c>
      <c r="C10" s="214">
        <v>2.7500000000000004</v>
      </c>
      <c r="D10" t="str">
        <f>IF(VLOOKUP($A10,Tabelle1!$A$4:$BU$73,5,0)&lt;&gt;"",D$1,"")</f>
        <v/>
      </c>
      <c r="E10" t="str">
        <f>IF(VLOOKUP($A10,Tabelle1!$A$4:$BU$73,6,0)&lt;&gt;"",E$1,"")</f>
        <v/>
      </c>
      <c r="F10" t="str">
        <f>IF(VLOOKUP($A10,Tabelle1!$A$4:$BU$73,7,0)&lt;&gt;"",F$1,"")</f>
        <v/>
      </c>
      <c r="G10" t="str">
        <f>IF(VLOOKUP($A10,Tabelle1!$A$4:$BU$73,8,0)&lt;&gt;"",G$1,"")</f>
        <v/>
      </c>
      <c r="H10" t="str">
        <f>IF(VLOOKUP($A10,Tabelle1!$A$4:$BU$73,9,0)&lt;&gt;"",H$1,"")</f>
        <v/>
      </c>
      <c r="I10" t="str">
        <f>IF(VLOOKUP($A10,Tabelle1!$A$4:$BU$73,10,0)&lt;&gt;"",I$1,"")</f>
        <v xml:space="preserve">Buchweizen </v>
      </c>
      <c r="J10" t="str">
        <f>IF(VLOOKUP($A10,Tabelle1!$A$4:$BU$73,11,0)&lt;&gt;"",J$1,"")</f>
        <v/>
      </c>
      <c r="K10" t="str">
        <f>IF(VLOOKUP($A10,Tabelle1!$A$4:$BU$73,12,0)&lt;&gt;"",K$1,"")</f>
        <v/>
      </c>
      <c r="L10" t="str">
        <f>IF(VLOOKUP($A10,Tabelle1!$A$4:$BU$73,13,0)&lt;&gt;"",L$1,"")</f>
        <v/>
      </c>
      <c r="M10" t="str">
        <f>IF(VLOOKUP($A10,Tabelle1!$A$4:$BU$73,14,0)&lt;&gt;"",M$1,"")</f>
        <v/>
      </c>
      <c r="N10" t="str">
        <f>IF(VLOOKUP($A10,Tabelle1!$A$4:$BU$73,15,0)&lt;&gt;"",N$1,"")</f>
        <v/>
      </c>
      <c r="O10" t="str">
        <f>IF(VLOOKUP($A10,Tabelle1!$A$4:$BU$73,16,0)&lt;&gt;"",O$1,"")</f>
        <v/>
      </c>
      <c r="P10" t="str">
        <f>IF(VLOOKUP($A10,Tabelle1!$A$4:$BU$73,17,0)&lt;&gt;"",P$1,"")</f>
        <v/>
      </c>
      <c r="Q10" t="str">
        <f>IF(VLOOKUP($A10,Tabelle1!$A$4:$BU$73,18,0)&lt;&gt;"",Q$1,"")</f>
        <v/>
      </c>
      <c r="R10" t="str">
        <f>IF(VLOOKUP($A10,Tabelle1!$A$4:$BU$73,19,0)&lt;&gt;"",R$1,"")</f>
        <v/>
      </c>
      <c r="S10" t="str">
        <f>IF(VLOOKUP($A10,Tabelle1!$A$4:$BU$73,20,0)&lt;&gt;"",S$1,"")</f>
        <v/>
      </c>
      <c r="T10" t="str">
        <f>IF(VLOOKUP($A10,Tabelle1!$A$4:$BU$73,21,0)&lt;&gt;"",T$1,"")</f>
        <v/>
      </c>
      <c r="U10" t="str">
        <f>IF(VLOOKUP($A10,Tabelle1!$A$4:$BU$73,22,0)&lt;&gt;"",U$1,"")</f>
        <v/>
      </c>
      <c r="V10" t="str">
        <f>IF(VLOOKUP($A10,Tabelle1!$A$4:$BU$73,23,0)&lt;&gt;"",V$1,"")</f>
        <v/>
      </c>
      <c r="W10" t="str">
        <f>IF(VLOOKUP($A10,Tabelle1!$A$4:$BU$73,24,0)&lt;&gt;"",W$1,"")</f>
        <v/>
      </c>
      <c r="X10" t="str">
        <f>IF(VLOOKUP($A10,Tabelle1!$A$4:$BU$73,25,0)&lt;&gt;"",X$1,"")</f>
        <v/>
      </c>
      <c r="Y10" t="str">
        <f>IF(VLOOKUP($A10,Tabelle1!$A$4:$BU$73,26,0)&lt;&gt;"",Y$1,"")</f>
        <v/>
      </c>
      <c r="Z10" t="str">
        <f>IF(VLOOKUP($A10,Tabelle1!$A$4:$BU$73,27,0)&lt;&gt;"",Z$1,"")</f>
        <v/>
      </c>
      <c r="AA10" t="str">
        <f>IF(VLOOKUP($A10,Tabelle1!$A$4:$BU$73,28,0)&lt;&gt;"",AA$1,"")</f>
        <v/>
      </c>
      <c r="AB10" t="str">
        <f>IF(VLOOKUP($A10,Tabelle1!$A$4:$BU$73,29,0)&lt;&gt;"",AB$1,"")</f>
        <v/>
      </c>
      <c r="AC10" t="str">
        <f>IF(VLOOKUP($A10,Tabelle1!$A$4:$BU$73,30,0)&lt;&gt;"",AC$1,"")</f>
        <v/>
      </c>
      <c r="AD10" t="str">
        <f>IF(VLOOKUP($A10,Tabelle1!$A$4:$BU$73,31,0)&lt;&gt;"",AD$1,"")</f>
        <v/>
      </c>
      <c r="AE10" t="str">
        <f>IF(VLOOKUP($A10,Tabelle1!$A$4:$BU$73,32,0)&lt;&gt;"",AE$1,"")</f>
        <v>Ölrettich</v>
      </c>
      <c r="AF10" t="str">
        <f>IF(VLOOKUP($A10,Tabelle1!$A$4:$BU$73,33,0)&lt;&gt;"",AF$1,"")</f>
        <v/>
      </c>
      <c r="AG10" t="str">
        <f>IF(VLOOKUP($A10,Tabelle1!$A$4:$BU$73,34,0)&lt;&gt;"",AG$1,"")</f>
        <v/>
      </c>
      <c r="AH10" t="str">
        <f>IF(VLOOKUP($A10,Tabelle1!$A$4:$BU$73,35,0)&lt;&gt;"",AH$1,"")</f>
        <v/>
      </c>
      <c r="AI10" t="str">
        <f>IF(VLOOKUP($A10,Tabelle1!$A$4:$BU$73,36,0)&lt;&gt;"",AI$1,"")</f>
        <v/>
      </c>
      <c r="AJ10" t="str">
        <f>IF(VLOOKUP($A10,Tabelle1!$A$4:$BU$73,37,0)&lt;&gt;"",AJ$1,"")</f>
        <v/>
      </c>
      <c r="AK10" t="str">
        <f>IF(VLOOKUP($A10,Tabelle1!$A$4:$BU$73,38,0)&lt;&gt;"",AK$1,"")</f>
        <v/>
      </c>
      <c r="AL10" t="str">
        <f>IF(VLOOKUP($A10,Tabelle1!$A$4:$BU$73,39,0)&lt;&gt;"",AL$1,"")</f>
        <v/>
      </c>
      <c r="AM10" t="str">
        <f>IF(VLOOKUP($A10,Tabelle1!$A$4:$BU$73,40,0)&lt;&gt;"",AM$1,"")</f>
        <v/>
      </c>
      <c r="AN10" t="str">
        <f>IF(VLOOKUP($A10,Tabelle1!$A$4:$BU$73,41,0)&lt;&gt;"",AN$1,"")</f>
        <v/>
      </c>
      <c r="AO10" t="str">
        <f>IF(VLOOKUP($A10,Tabelle1!$A$4:$BU$73,42,0)&lt;&gt;"",AO$1,"")</f>
        <v/>
      </c>
      <c r="AP10" t="str">
        <f>IF(VLOOKUP($A10,Tabelle1!$A$4:$BU$73,43,0)&lt;&gt;"",AP$1,"")</f>
        <v/>
      </c>
      <c r="AQ10" t="str">
        <f>IF(VLOOKUP($A10,Tabelle1!$A$4:$BU$73,44,0)&lt;&gt;"",AQ$1,"")</f>
        <v/>
      </c>
      <c r="AR10" t="str">
        <f>IF(VLOOKUP($A10,Tabelle1!$A$4:$BU$73,45,0)&lt;&gt;"",AR$1,"")</f>
        <v/>
      </c>
      <c r="AS10" t="str">
        <f>IF(VLOOKUP($A10,Tabelle1!$A$4:$BU$73,46,0)&lt;&gt;"",AS$1,"")</f>
        <v>Senf nematodenhemmend / neamtodenresistent</v>
      </c>
      <c r="AT10" t="str">
        <f>IF(VLOOKUP($A10,Tabelle1!$A$4:$BU$73,47,0)&lt;&gt;"",AT$1,"")</f>
        <v/>
      </c>
      <c r="AU10" t="str">
        <f>IF(VLOOKUP($A10,Tabelle1!$A$4:$BU$73,48,0)&lt;&gt;"",AU$1,"")</f>
        <v/>
      </c>
      <c r="AV10" t="str">
        <f>IF(VLOOKUP($A10,Tabelle1!$A$4:$BU$73,49,0)&lt;&gt;"",AV$1,"")</f>
        <v/>
      </c>
      <c r="AW10" t="str">
        <f>IF(VLOOKUP($A10,Tabelle1!$A$4:$BU$73,50,0)&lt;&gt;"",AW$1,"")</f>
        <v/>
      </c>
      <c r="AX10" t="str">
        <f>IF(VLOOKUP($A10,Tabelle1!$A$4:$BU$73,51,0)&lt;&gt;"",AX$1,"")</f>
        <v/>
      </c>
      <c r="AY10" t="str">
        <f>IF(VLOOKUP($A10,Tabelle1!$A$4:$BU$73,52,0)&lt;&gt;"",AY$1,"")</f>
        <v/>
      </c>
      <c r="AZ10" t="str">
        <f>IF(VLOOKUP($A10,Tabelle1!$A$4:$BU$73,53,0)&lt;&gt;"",AZ$1,"")</f>
        <v/>
      </c>
      <c r="BA10" t="str">
        <f>IF(VLOOKUP($A10,Tabelle1!$A$4:$BU$73,54,0)&lt;&gt;"",BA$1,"")</f>
        <v/>
      </c>
      <c r="BB10" t="str">
        <f>IF(VLOOKUP($A10,Tabelle1!$A$4:$BU$73,55,0)&lt;&gt;"",BB$1,"")</f>
        <v/>
      </c>
      <c r="BC10" t="str">
        <f>IF(VLOOKUP($A10,Tabelle1!$A$4:$BU$73,56,0)&lt;&gt;"",BC$1,"")</f>
        <v/>
      </c>
      <c r="BD10" t="str">
        <f>IF(VLOOKUP($A10,Tabelle1!$A$4:$BU$73,57,0)&lt;&gt;"",BD$1,"")</f>
        <v/>
      </c>
      <c r="BE10" t="str">
        <f>IF(VLOOKUP($A10,Tabelle1!$A$4:$BU$73,58,0)&lt;&gt;"",BE$1,"")</f>
        <v/>
      </c>
      <c r="BF10" t="str">
        <f>IF(VLOOKUP($A10,Tabelle1!$A$4:$BU$73,59,0)&lt;&gt;"",BF$1,"")</f>
        <v/>
      </c>
      <c r="BG10" t="str">
        <f>IF(VLOOKUP($A10,Tabelle1!$A$4:$BU$73,60,0)&lt;&gt;"",BG$1,"")</f>
        <v/>
      </c>
      <c r="BH10" t="str">
        <f>IF(VLOOKUP($A10,Tabelle1!$A$4:$BU$73,61,0)&lt;&gt;"",BH$1,"")</f>
        <v/>
      </c>
      <c r="BI10" t="str">
        <f>IF(VLOOKUP($A10,Tabelle1!$A$4:$BU$73,62,0)&lt;&gt;"",BI$1,"")</f>
        <v/>
      </c>
      <c r="BJ10" t="str">
        <f>IF(VLOOKUP($A10,Tabelle1!$A$4:$BU$73,63,0)&lt;&gt;"",BJ$1,"")</f>
        <v/>
      </c>
      <c r="BK10" t="str">
        <f>IF(VLOOKUP($A10,Tabelle1!$A$4:$BU$73,64,0)&lt;&gt;"",BK$1,"")</f>
        <v/>
      </c>
      <c r="BL10" t="str">
        <f>IF(VLOOKUP($A10,Tabelle1!$A$4:$BU$73,65,0)&lt;&gt;"",BL$1,"")</f>
        <v/>
      </c>
      <c r="BM10" t="str">
        <f>IF(VLOOKUP($A10,Tabelle1!$A$4:$BU$73,66,0)&lt;&gt;"",BM$1,"")</f>
        <v/>
      </c>
      <c r="BN10" t="str">
        <f>IF(VLOOKUP($A10,Tabelle1!$A$4:$BU$73,67,0)&lt;&gt;"",BN$1,"")</f>
        <v/>
      </c>
      <c r="BO10" t="str">
        <f>IF(VLOOKUP($A10,Tabelle1!$A$4:$BU$73,68,0)&lt;&gt;"",BO$1,"")</f>
        <v/>
      </c>
      <c r="BP10" t="str">
        <f>IF(VLOOKUP($A10,Tabelle1!$A$4:$BU$73,69,0)&lt;&gt;"",BP$1,"")</f>
        <v/>
      </c>
      <c r="BQ10" t="str">
        <f>IF(VLOOKUP($A10,Tabelle1!$A$4:$BU$73,70,0)&lt;&gt;"",BQ$1,"")</f>
        <v/>
      </c>
      <c r="BR10" t="str">
        <f>IF(VLOOKUP($A10,Tabelle1!$A$4:$BU$73,71,0)&lt;&gt;"",BR$1,"")</f>
        <v/>
      </c>
      <c r="BS10" t="str">
        <f>IF(VLOOKUP($A10,Tabelle1!$A$4:$BU$73,72,0)&lt;&gt;"",BS$1,"")</f>
        <v/>
      </c>
      <c r="BT10" t="str">
        <f>IF(VLOOKUP($A10,Tabelle1!$A$4:$BU$73,73,0)&lt;&gt;"",BT$1,"")</f>
        <v/>
      </c>
    </row>
    <row r="11" spans="1:73" x14ac:dyDescent="0.2">
      <c r="A11" t="s">
        <v>784</v>
      </c>
      <c r="B11">
        <v>20</v>
      </c>
      <c r="C11" s="214">
        <v>4.5199999999999996</v>
      </c>
      <c r="D11" t="str">
        <f>IF(VLOOKUP($A11,Tabelle1!$A$4:$BU$73,5,0)&lt;&gt;"",D$1,"")</f>
        <v/>
      </c>
      <c r="E11" t="str">
        <f>IF(VLOOKUP($A11,Tabelle1!$A$4:$BU$73,6,0)&lt;&gt;"",E$1,"")</f>
        <v/>
      </c>
      <c r="F11" t="str">
        <f>IF(VLOOKUP($A11,Tabelle1!$A$4:$BU$73,7,0)&lt;&gt;"",F$1,"")</f>
        <v>Alexandrinerklee</v>
      </c>
      <c r="G11" t="str">
        <f>IF(VLOOKUP($A11,Tabelle1!$A$4:$BU$73,8,0)&lt;&gt;"",G$1,"")</f>
        <v/>
      </c>
      <c r="H11" t="str">
        <f>IF(VLOOKUP($A11,Tabelle1!$A$4:$BU$73,9,0)&lt;&gt;"",H$1,"")</f>
        <v/>
      </c>
      <c r="I11" t="str">
        <f>IF(VLOOKUP($A11,Tabelle1!$A$4:$BU$73,10,0)&lt;&gt;"",I$1,"")</f>
        <v/>
      </c>
      <c r="J11" t="str">
        <f>IF(VLOOKUP($A11,Tabelle1!$A$4:$BU$73,11,0)&lt;&gt;"",J$1,"")</f>
        <v/>
      </c>
      <c r="K11" t="str">
        <f>IF(VLOOKUP($A11,Tabelle1!$A$4:$BU$73,12,0)&lt;&gt;"",K$1,"")</f>
        <v/>
      </c>
      <c r="L11" t="str">
        <f>IF(VLOOKUP($A11,Tabelle1!$A$4:$BU$73,13,0)&lt;&gt;"",L$1,"")</f>
        <v/>
      </c>
      <c r="M11" t="str">
        <f>IF(VLOOKUP($A11,Tabelle1!$A$4:$BU$73,14,0)&lt;&gt;"",M$1,"")</f>
        <v/>
      </c>
      <c r="N11" t="str">
        <f>IF(VLOOKUP($A11,Tabelle1!$A$4:$BU$73,15,0)&lt;&gt;"",N$1,"")</f>
        <v/>
      </c>
      <c r="O11" t="str">
        <f>IF(VLOOKUP($A11,Tabelle1!$A$4:$BU$73,16,0)&lt;&gt;"",O$1,"")</f>
        <v/>
      </c>
      <c r="P11" t="str">
        <f>IF(VLOOKUP($A11,Tabelle1!$A$4:$BU$73,17,0)&lt;&gt;"",P$1,"")</f>
        <v/>
      </c>
      <c r="Q11" t="str">
        <f>IF(VLOOKUP($A11,Tabelle1!$A$4:$BU$73,18,0)&lt;&gt;"",Q$1,"")</f>
        <v/>
      </c>
      <c r="R11" t="str">
        <f>IF(VLOOKUP($A11,Tabelle1!$A$4:$BU$73,19,0)&lt;&gt;"",R$1,"")</f>
        <v/>
      </c>
      <c r="S11" t="str">
        <f>IF(VLOOKUP($A11,Tabelle1!$A$4:$BU$73,20,0)&lt;&gt;"",S$1,"")</f>
        <v/>
      </c>
      <c r="T11" t="str">
        <f>IF(VLOOKUP($A11,Tabelle1!$A$4:$BU$73,21,0)&lt;&gt;"",T$1,"")</f>
        <v>Inkarnatklee</v>
      </c>
      <c r="U11" t="str">
        <f>IF(VLOOKUP($A11,Tabelle1!$A$4:$BU$73,22,0)&lt;&gt;"",U$1,"")</f>
        <v/>
      </c>
      <c r="V11" t="str">
        <f>IF(VLOOKUP($A11,Tabelle1!$A$4:$BU$73,23,0)&lt;&gt;"",V$1,"")</f>
        <v/>
      </c>
      <c r="W11" t="str">
        <f>IF(VLOOKUP($A11,Tabelle1!$A$4:$BU$73,24,0)&lt;&gt;"",W$1,"")</f>
        <v/>
      </c>
      <c r="X11" t="str">
        <f>IF(VLOOKUP($A11,Tabelle1!$A$4:$BU$73,25,0)&lt;&gt;"",X$1,"")</f>
        <v/>
      </c>
      <c r="Y11" t="str">
        <f>IF(VLOOKUP($A11,Tabelle1!$A$4:$BU$73,26,0)&lt;&gt;"",Y$1,"")</f>
        <v/>
      </c>
      <c r="Z11" t="str">
        <f>IF(VLOOKUP($A11,Tabelle1!$A$4:$BU$73,27,0)&lt;&gt;"",Z$1,"")</f>
        <v>Linse</v>
      </c>
      <c r="AA11" t="str">
        <f>IF(VLOOKUP($A11,Tabelle1!$A$4:$BU$73,28,0)&lt;&gt;"",AA$1,"")</f>
        <v/>
      </c>
      <c r="AB11" t="str">
        <f>IF(VLOOKUP($A11,Tabelle1!$A$4:$BU$73,29,0)&lt;&gt;"",AB$1,"")</f>
        <v/>
      </c>
      <c r="AC11" t="str">
        <f>IF(VLOOKUP($A11,Tabelle1!$A$4:$BU$73,30,0)&lt;&gt;"",AC$1,"")</f>
        <v>Schwarzsamen/Ramtilkraut/Gingellikraut/Mungo</v>
      </c>
      <c r="AD11" t="str">
        <f>IF(VLOOKUP($A11,Tabelle1!$A$4:$BU$73,31,0)&lt;&gt;"",AD$1,"")</f>
        <v>Öllein</v>
      </c>
      <c r="AE11" t="str">
        <f>IF(VLOOKUP($A11,Tabelle1!$A$4:$BU$73,32,0)&lt;&gt;"",AE$1,"")</f>
        <v/>
      </c>
      <c r="AF11" t="str">
        <f>IF(VLOOKUP($A11,Tabelle1!$A$4:$BU$73,33,0)&lt;&gt;"",AF$1,"")</f>
        <v/>
      </c>
      <c r="AG11" t="str">
        <f>IF(VLOOKUP($A11,Tabelle1!$A$4:$BU$73,34,0)&lt;&gt;"",AG$1,"")</f>
        <v>Persischer Klee</v>
      </c>
      <c r="AH11" t="str">
        <f>IF(VLOOKUP($A11,Tabelle1!$A$4:$BU$73,35,0)&lt;&gt;"",AH$1,"")</f>
        <v/>
      </c>
      <c r="AI11" t="str">
        <f>IF(VLOOKUP($A11,Tabelle1!$A$4:$BU$73,36,0)&lt;&gt;"",AI$1,"")</f>
        <v/>
      </c>
      <c r="AJ11" t="str">
        <f>IF(VLOOKUP($A11,Tabelle1!$A$4:$BU$73,37,0)&lt;&gt;"",AJ$1,"")</f>
        <v/>
      </c>
      <c r="AK11" t="str">
        <f>IF(VLOOKUP($A11,Tabelle1!$A$4:$BU$73,38,0)&lt;&gt;"",AK$1,"")</f>
        <v/>
      </c>
      <c r="AL11" t="str">
        <f>IF(VLOOKUP($A11,Tabelle1!$A$4:$BU$73,39,0)&lt;&gt;"",AL$1,"")</f>
        <v/>
      </c>
      <c r="AM11" t="str">
        <f>IF(VLOOKUP($A11,Tabelle1!$A$4:$BU$73,40,0)&lt;&gt;"",AM$1,"")</f>
        <v/>
      </c>
      <c r="AN11" t="str">
        <f>IF(VLOOKUP($A11,Tabelle1!$A$4:$BU$73,41,0)&lt;&gt;"",AN$1,"")</f>
        <v/>
      </c>
      <c r="AO11" t="str">
        <f>IF(VLOOKUP($A11,Tabelle1!$A$4:$BU$73,42,0)&lt;&gt;"",AO$1,"")</f>
        <v/>
      </c>
      <c r="AP11" t="str">
        <f>IF(VLOOKUP($A11,Tabelle1!$A$4:$BU$73,43,0)&lt;&gt;"",AP$1,"")</f>
        <v/>
      </c>
      <c r="AQ11" t="str">
        <f>IF(VLOOKUP($A11,Tabelle1!$A$4:$BU$73,44,0)&lt;&gt;"",AQ$1,"")</f>
        <v/>
      </c>
      <c r="AR11" t="str">
        <f>IF(VLOOKUP($A11,Tabelle1!$A$4:$BU$73,45,0)&lt;&gt;"",AR$1,"")</f>
        <v/>
      </c>
      <c r="AS11" t="str">
        <f>IF(VLOOKUP($A11,Tabelle1!$A$4:$BU$73,46,0)&lt;&gt;"",AS$1,"")</f>
        <v/>
      </c>
      <c r="AT11" t="str">
        <f>IF(VLOOKUP($A11,Tabelle1!$A$4:$BU$73,47,0)&lt;&gt;"",AT$1,"")</f>
        <v/>
      </c>
      <c r="AU11" t="str">
        <f>IF(VLOOKUP($A11,Tabelle1!$A$4:$BU$73,48,0)&lt;&gt;"",AU$1,"")</f>
        <v/>
      </c>
      <c r="AV11" t="str">
        <f>IF(VLOOKUP($A11,Tabelle1!$A$4:$BU$73,49,0)&lt;&gt;"",AV$1,"")</f>
        <v/>
      </c>
      <c r="AW11" t="str">
        <f>IF(VLOOKUP($A11,Tabelle1!$A$4:$BU$73,50,0)&lt;&gt;"",AW$1,"")</f>
        <v/>
      </c>
      <c r="AX11" t="str">
        <f>IF(VLOOKUP($A11,Tabelle1!$A$4:$BU$73,51,0)&lt;&gt;"",AX$1,"")</f>
        <v/>
      </c>
      <c r="AY11" t="str">
        <f>IF(VLOOKUP($A11,Tabelle1!$A$4:$BU$73,52,0)&lt;&gt;"",AY$1,"")</f>
        <v/>
      </c>
      <c r="AZ11" t="str">
        <f>IF(VLOOKUP($A11,Tabelle1!$A$4:$BU$73,53,0)&lt;&gt;"",AZ$1,"")</f>
        <v/>
      </c>
      <c r="BA11" t="str">
        <f>IF(VLOOKUP($A11,Tabelle1!$A$4:$BU$73,54,0)&lt;&gt;"",BA$1,"")</f>
        <v/>
      </c>
      <c r="BB11" t="str">
        <f>IF(VLOOKUP($A11,Tabelle1!$A$4:$BU$73,55,0)&lt;&gt;"",BB$1,"")</f>
        <v/>
      </c>
      <c r="BC11" t="str">
        <f>IF(VLOOKUP($A11,Tabelle1!$A$4:$BU$73,56,0)&lt;&gt;"",BC$1,"")</f>
        <v/>
      </c>
      <c r="BD11" t="str">
        <f>IF(VLOOKUP($A11,Tabelle1!$A$4:$BU$73,57,0)&lt;&gt;"",BD$1,"")</f>
        <v/>
      </c>
      <c r="BE11" t="str">
        <f>IF(VLOOKUP($A11,Tabelle1!$A$4:$BU$73,58,0)&lt;&gt;"",BE$1,"")</f>
        <v/>
      </c>
      <c r="BF11" t="str">
        <f>IF(VLOOKUP($A11,Tabelle1!$A$4:$BU$73,59,0)&lt;&gt;"",BF$1,"")</f>
        <v/>
      </c>
      <c r="BG11" t="str">
        <f>IF(VLOOKUP($A11,Tabelle1!$A$4:$BU$73,60,0)&lt;&gt;"",BG$1,"")</f>
        <v/>
      </c>
      <c r="BH11" t="str">
        <f>IF(VLOOKUP($A11,Tabelle1!$A$4:$BU$73,61,0)&lt;&gt;"",BH$1,"")</f>
        <v/>
      </c>
      <c r="BI11" t="str">
        <f>IF(VLOOKUP($A11,Tabelle1!$A$4:$BU$73,62,0)&lt;&gt;"",BI$1,"")</f>
        <v/>
      </c>
      <c r="BJ11" t="str">
        <f>IF(VLOOKUP($A11,Tabelle1!$A$4:$BU$73,63,0)&lt;&gt;"",BJ$1,"")</f>
        <v/>
      </c>
      <c r="BK11" t="str">
        <f>IF(VLOOKUP($A11,Tabelle1!$A$4:$BU$73,64,0)&lt;&gt;"",BK$1,"")</f>
        <v/>
      </c>
      <c r="BL11" t="str">
        <f>IF(VLOOKUP($A11,Tabelle1!$A$4:$BU$73,65,0)&lt;&gt;"",BL$1,"")</f>
        <v/>
      </c>
      <c r="BM11" t="str">
        <f>IF(VLOOKUP($A11,Tabelle1!$A$4:$BU$73,66,0)&lt;&gt;"",BM$1,"")</f>
        <v/>
      </c>
      <c r="BN11" t="str">
        <f>IF(VLOOKUP($A11,Tabelle1!$A$4:$BU$73,67,0)&lt;&gt;"",BN$1,"")</f>
        <v/>
      </c>
      <c r="BO11" t="str">
        <f>IF(VLOOKUP($A11,Tabelle1!$A$4:$BU$73,68,0)&lt;&gt;"",BO$1,"")</f>
        <v/>
      </c>
      <c r="BP11" t="str">
        <f>IF(VLOOKUP($A11,Tabelle1!$A$4:$BU$73,69,0)&lt;&gt;"",BP$1,"")</f>
        <v/>
      </c>
      <c r="BQ11" t="str">
        <f>IF(VLOOKUP($A11,Tabelle1!$A$4:$BU$73,70,0)&lt;&gt;"",BQ$1,"")</f>
        <v/>
      </c>
      <c r="BR11" t="str">
        <f>IF(VLOOKUP($A11,Tabelle1!$A$4:$BU$73,71,0)&lt;&gt;"",BR$1,"")</f>
        <v/>
      </c>
      <c r="BS11" t="str">
        <f>IF(VLOOKUP($A11,Tabelle1!$A$4:$BU$73,72,0)&lt;&gt;"",BS$1,"")</f>
        <v/>
      </c>
      <c r="BT11" t="str">
        <f>IF(VLOOKUP($A11,Tabelle1!$A$4:$BU$73,73,0)&lt;&gt;"",BT$1,"")</f>
        <v/>
      </c>
    </row>
    <row r="12" spans="1:73" x14ac:dyDescent="0.2">
      <c r="A12" t="s">
        <v>789</v>
      </c>
      <c r="B12">
        <v>15</v>
      </c>
      <c r="C12" s="214">
        <v>5.4239999999999986</v>
      </c>
      <c r="D12" t="str">
        <f>IF(VLOOKUP($A12,Tabelle1!$A$4:$BU$73,5,0)&lt;&gt;"",D$1,"")</f>
        <v/>
      </c>
      <c r="E12" t="str">
        <f>IF(VLOOKUP($A12,Tabelle1!$A$4:$BU$73,6,0)&lt;&gt;"",E$1,"")</f>
        <v/>
      </c>
      <c r="F12" t="str">
        <f>IF(VLOOKUP($A12,Tabelle1!$A$4:$BU$73,7,0)&lt;&gt;"",F$1,"")</f>
        <v>Alexandrinerklee</v>
      </c>
      <c r="G12" t="str">
        <f>IF(VLOOKUP($A12,Tabelle1!$A$4:$BU$73,8,0)&lt;&gt;"",G$1,"")</f>
        <v/>
      </c>
      <c r="H12" t="str">
        <f>IF(VLOOKUP($A12,Tabelle1!$A$4:$BU$73,9,0)&lt;&gt;"",H$1,"")</f>
        <v/>
      </c>
      <c r="I12" t="str">
        <f>IF(VLOOKUP($A12,Tabelle1!$A$4:$BU$73,10,0)&lt;&gt;"",I$1,"")</f>
        <v/>
      </c>
      <c r="J12" t="str">
        <f>IF(VLOOKUP($A12,Tabelle1!$A$4:$BU$73,11,0)&lt;&gt;"",J$1,"")</f>
        <v/>
      </c>
      <c r="K12" t="str">
        <f>IF(VLOOKUP($A12,Tabelle1!$A$4:$BU$73,12,0)&lt;&gt;"",K$1,"")</f>
        <v/>
      </c>
      <c r="L12" t="str">
        <f>IF(VLOOKUP($A12,Tabelle1!$A$4:$BU$73,13,0)&lt;&gt;"",L$1,"")</f>
        <v/>
      </c>
      <c r="M12" t="str">
        <f>IF(VLOOKUP($A12,Tabelle1!$A$4:$BU$73,14,0)&lt;&gt;"",M$1,"")</f>
        <v/>
      </c>
      <c r="N12" t="str">
        <f>IF(VLOOKUP($A12,Tabelle1!$A$4:$BU$73,15,0)&lt;&gt;"",N$1,"")</f>
        <v/>
      </c>
      <c r="O12" t="str">
        <f>IF(VLOOKUP($A12,Tabelle1!$A$4:$BU$73,16,0)&lt;&gt;"",O$1,"")</f>
        <v/>
      </c>
      <c r="P12" t="str">
        <f>IF(VLOOKUP($A12,Tabelle1!$A$4:$BU$73,17,0)&lt;&gt;"",P$1,"")</f>
        <v/>
      </c>
      <c r="Q12" t="str">
        <f>IF(VLOOKUP($A12,Tabelle1!$A$4:$BU$73,18,0)&lt;&gt;"",Q$1,"")</f>
        <v/>
      </c>
      <c r="R12" t="str">
        <f>IF(VLOOKUP($A12,Tabelle1!$A$4:$BU$73,19,0)&lt;&gt;"",R$1,"")</f>
        <v/>
      </c>
      <c r="S12" t="str">
        <f>IF(VLOOKUP($A12,Tabelle1!$A$4:$BU$73,20,0)&lt;&gt;"",S$1,"")</f>
        <v/>
      </c>
      <c r="T12" t="str">
        <f>IF(VLOOKUP($A12,Tabelle1!$A$4:$BU$73,21,0)&lt;&gt;"",T$1,"")</f>
        <v/>
      </c>
      <c r="U12" t="str">
        <f>IF(VLOOKUP($A12,Tabelle1!$A$4:$BU$73,22,0)&lt;&gt;"",U$1,"")</f>
        <v/>
      </c>
      <c r="V12" t="str">
        <f>IF(VLOOKUP($A12,Tabelle1!$A$4:$BU$73,23,0)&lt;&gt;"",V$1,"")</f>
        <v/>
      </c>
      <c r="W12" t="str">
        <f>IF(VLOOKUP($A12,Tabelle1!$A$4:$BU$73,24,0)&lt;&gt;"",W$1,"")</f>
        <v>Krumenklee</v>
      </c>
      <c r="X12" t="str">
        <f>IF(VLOOKUP($A12,Tabelle1!$A$4:$BU$73,25,0)&lt;&gt;"",X$1,"")</f>
        <v/>
      </c>
      <c r="Y12" t="str">
        <f>IF(VLOOKUP($A12,Tabelle1!$A$4:$BU$73,26,0)&lt;&gt;"",Y$1,"")</f>
        <v/>
      </c>
      <c r="Z12" t="str">
        <f>IF(VLOOKUP($A12,Tabelle1!$A$4:$BU$73,27,0)&lt;&gt;"",Z$1,"")</f>
        <v/>
      </c>
      <c r="AA12" t="str">
        <f>IF(VLOOKUP($A12,Tabelle1!$A$4:$BU$73,28,0)&lt;&gt;"",AA$1,"")</f>
        <v/>
      </c>
      <c r="AB12" t="str">
        <f>IF(VLOOKUP($A12,Tabelle1!$A$4:$BU$73,29,0)&lt;&gt;"",AB$1,"")</f>
        <v/>
      </c>
      <c r="AC12" t="str">
        <f>IF(VLOOKUP($A12,Tabelle1!$A$4:$BU$73,30,0)&lt;&gt;"",AC$1,"")</f>
        <v/>
      </c>
      <c r="AD12" t="str">
        <f>IF(VLOOKUP($A12,Tabelle1!$A$4:$BU$73,31,0)&lt;&gt;"",AD$1,"")</f>
        <v/>
      </c>
      <c r="AE12" t="str">
        <f>IF(VLOOKUP($A12,Tabelle1!$A$4:$BU$73,32,0)&lt;&gt;"",AE$1,"")</f>
        <v>Ölrettich</v>
      </c>
      <c r="AF12" t="str">
        <f>IF(VLOOKUP($A12,Tabelle1!$A$4:$BU$73,33,0)&lt;&gt;"",AF$1,"")</f>
        <v/>
      </c>
      <c r="AG12" t="str">
        <f>IF(VLOOKUP($A12,Tabelle1!$A$4:$BU$73,34,0)&lt;&gt;"",AG$1,"")</f>
        <v/>
      </c>
      <c r="AH12" t="str">
        <f>IF(VLOOKUP($A12,Tabelle1!$A$4:$BU$73,35,0)&lt;&gt;"",AH$1,"")</f>
        <v>Phazelie</v>
      </c>
      <c r="AI12" t="str">
        <f>IF(VLOOKUP($A12,Tabelle1!$A$4:$BU$73,36,0)&lt;&gt;"",AI$1,"")</f>
        <v/>
      </c>
      <c r="AJ12" t="str">
        <f>IF(VLOOKUP($A12,Tabelle1!$A$4:$BU$73,37,0)&lt;&gt;"",AJ$1,"")</f>
        <v/>
      </c>
      <c r="AK12" t="str">
        <f>IF(VLOOKUP($A12,Tabelle1!$A$4:$BU$73,38,0)&lt;&gt;"",AK$1,"")</f>
        <v/>
      </c>
      <c r="AL12" t="str">
        <f>IF(VLOOKUP($A12,Tabelle1!$A$4:$BU$73,39,0)&lt;&gt;"",AL$1,"")</f>
        <v/>
      </c>
      <c r="AM12" t="str">
        <f>IF(VLOOKUP($A12,Tabelle1!$A$4:$BU$73,40,0)&lt;&gt;"",AM$1,"")</f>
        <v/>
      </c>
      <c r="AN12" t="str">
        <f>IF(VLOOKUP($A12,Tabelle1!$A$4:$BU$73,41,0)&lt;&gt;"",AN$1,"")</f>
        <v/>
      </c>
      <c r="AO12" t="str">
        <f>IF(VLOOKUP($A12,Tabelle1!$A$4:$BU$73,42,0)&lt;&gt;"",AO$1,"")</f>
        <v/>
      </c>
      <c r="AP12" t="str">
        <f>IF(VLOOKUP($A12,Tabelle1!$A$4:$BU$73,43,0)&lt;&gt;"",AP$1,"")</f>
        <v/>
      </c>
      <c r="AQ12" t="str">
        <f>IF(VLOOKUP($A12,Tabelle1!$A$4:$BU$73,44,0)&lt;&gt;"",AQ$1,"")</f>
        <v/>
      </c>
      <c r="AR12" t="str">
        <f>IF(VLOOKUP($A12,Tabelle1!$A$4:$BU$73,45,0)&lt;&gt;"",AR$1,"")</f>
        <v/>
      </c>
      <c r="AS12" t="str">
        <f>IF(VLOOKUP($A12,Tabelle1!$A$4:$BU$73,46,0)&lt;&gt;"",AS$1,"")</f>
        <v/>
      </c>
      <c r="AT12" t="str">
        <f>IF(VLOOKUP($A12,Tabelle1!$A$4:$BU$73,47,0)&lt;&gt;"",AT$1,"")</f>
        <v/>
      </c>
      <c r="AU12" t="str">
        <f>IF(VLOOKUP($A12,Tabelle1!$A$4:$BU$73,48,0)&lt;&gt;"",AU$1,"")</f>
        <v/>
      </c>
      <c r="AV12" t="str">
        <f>IF(VLOOKUP($A12,Tabelle1!$A$4:$BU$73,49,0)&lt;&gt;"",AV$1,"")</f>
        <v/>
      </c>
      <c r="AW12" t="str">
        <f>IF(VLOOKUP($A12,Tabelle1!$A$4:$BU$73,50,0)&lt;&gt;"",AW$1,"")</f>
        <v/>
      </c>
      <c r="AX12" t="str">
        <f>IF(VLOOKUP($A12,Tabelle1!$A$4:$BU$73,51,0)&lt;&gt;"",AX$1,"")</f>
        <v/>
      </c>
      <c r="AY12" t="str">
        <f>IF(VLOOKUP($A12,Tabelle1!$A$4:$BU$73,52,0)&lt;&gt;"",AY$1,"")</f>
        <v/>
      </c>
      <c r="AZ12" t="str">
        <f>IF(VLOOKUP($A12,Tabelle1!$A$4:$BU$73,53,0)&lt;&gt;"",AZ$1,"")</f>
        <v/>
      </c>
      <c r="BA12" t="str">
        <f>IF(VLOOKUP($A12,Tabelle1!$A$4:$BU$73,54,0)&lt;&gt;"",BA$1,"")</f>
        <v/>
      </c>
      <c r="BB12" t="str">
        <f>IF(VLOOKUP($A12,Tabelle1!$A$4:$BU$73,55,0)&lt;&gt;"",BB$1,"")</f>
        <v/>
      </c>
      <c r="BC12" t="str">
        <f>IF(VLOOKUP($A12,Tabelle1!$A$4:$BU$73,56,0)&lt;&gt;"",BC$1,"")</f>
        <v/>
      </c>
      <c r="BD12" t="str">
        <f>IF(VLOOKUP($A12,Tabelle1!$A$4:$BU$73,57,0)&lt;&gt;"",BD$1,"")</f>
        <v/>
      </c>
      <c r="BE12" t="str">
        <f>IF(VLOOKUP($A12,Tabelle1!$A$4:$BU$73,58,0)&lt;&gt;"",BE$1,"")</f>
        <v/>
      </c>
      <c r="BF12" t="str">
        <f>IF(VLOOKUP($A12,Tabelle1!$A$4:$BU$73,59,0)&lt;&gt;"",BF$1,"")</f>
        <v/>
      </c>
      <c r="BG12" t="str">
        <f>IF(VLOOKUP($A12,Tabelle1!$A$4:$BU$73,60,0)&lt;&gt;"",BG$1,"")</f>
        <v/>
      </c>
      <c r="BH12" t="str">
        <f>IF(VLOOKUP($A12,Tabelle1!$A$4:$BU$73,61,0)&lt;&gt;"",BH$1,"")</f>
        <v/>
      </c>
      <c r="BI12" t="str">
        <f>IF(VLOOKUP($A12,Tabelle1!$A$4:$BU$73,62,0)&lt;&gt;"",BI$1,"")</f>
        <v/>
      </c>
      <c r="BJ12" t="str">
        <f>IF(VLOOKUP($A12,Tabelle1!$A$4:$BU$73,63,0)&lt;&gt;"",BJ$1,"")</f>
        <v/>
      </c>
      <c r="BK12" t="str">
        <f>IF(VLOOKUP($A12,Tabelle1!$A$4:$BU$73,64,0)&lt;&gt;"",BK$1,"")</f>
        <v/>
      </c>
      <c r="BL12" t="str">
        <f>IF(VLOOKUP($A12,Tabelle1!$A$4:$BU$73,65,0)&lt;&gt;"",BL$1,"")</f>
        <v/>
      </c>
      <c r="BM12" t="str">
        <f>IF(VLOOKUP($A12,Tabelle1!$A$4:$BU$73,66,0)&lt;&gt;"",BM$1,"")</f>
        <v/>
      </c>
      <c r="BN12" t="str">
        <f>IF(VLOOKUP($A12,Tabelle1!$A$4:$BU$73,67,0)&lt;&gt;"",BN$1,"")</f>
        <v/>
      </c>
      <c r="BO12" t="str">
        <f>IF(VLOOKUP($A12,Tabelle1!$A$4:$BU$73,68,0)&lt;&gt;"",BO$1,"")</f>
        <v/>
      </c>
      <c r="BP12" t="str">
        <f>IF(VLOOKUP($A12,Tabelle1!$A$4:$BU$73,69,0)&lt;&gt;"",BP$1,"")</f>
        <v/>
      </c>
      <c r="BQ12" t="str">
        <f>IF(VLOOKUP($A12,Tabelle1!$A$4:$BU$73,70,0)&lt;&gt;"",BQ$1,"")</f>
        <v/>
      </c>
      <c r="BR12" t="str">
        <f>IF(VLOOKUP($A12,Tabelle1!$A$4:$BU$73,71,0)&lt;&gt;"",BR$1,"")</f>
        <v/>
      </c>
      <c r="BS12" t="str">
        <f>IF(VLOOKUP($A12,Tabelle1!$A$4:$BU$73,72,0)&lt;&gt;"",BS$1,"")</f>
        <v/>
      </c>
      <c r="BT12" t="str">
        <f>IF(VLOOKUP($A12,Tabelle1!$A$4:$BU$73,73,0)&lt;&gt;"",BT$1,"")</f>
        <v/>
      </c>
    </row>
    <row r="13" spans="1:73" x14ac:dyDescent="0.2">
      <c r="A13" t="s">
        <v>791</v>
      </c>
      <c r="B13">
        <v>12</v>
      </c>
      <c r="C13" s="214">
        <v>5.461666666666666</v>
      </c>
      <c r="D13" t="str">
        <f>IF(VLOOKUP($A13,Tabelle1!$A$4:$BU$73,5,0)&lt;&gt;"",D$1,"")</f>
        <v/>
      </c>
      <c r="E13" t="str">
        <f>IF(VLOOKUP($A13,Tabelle1!$A$4:$BU$73,6,0)&lt;&gt;"",E$1,"")</f>
        <v/>
      </c>
      <c r="F13" t="str">
        <f>IF(VLOOKUP($A13,Tabelle1!$A$4:$BU$73,7,0)&lt;&gt;"",F$1,"")</f>
        <v>Alexandrinerklee</v>
      </c>
      <c r="G13" t="str">
        <f>IF(VLOOKUP($A13,Tabelle1!$A$4:$BU$73,8,0)&lt;&gt;"",G$1,"")</f>
        <v/>
      </c>
      <c r="H13" t="str">
        <f>IF(VLOOKUP($A13,Tabelle1!$A$4:$BU$73,9,0)&lt;&gt;"",H$1,"")</f>
        <v/>
      </c>
      <c r="I13" t="str">
        <f>IF(VLOOKUP($A13,Tabelle1!$A$4:$BU$73,10,0)&lt;&gt;"",I$1,"")</f>
        <v/>
      </c>
      <c r="J13" t="str">
        <f>IF(VLOOKUP($A13,Tabelle1!$A$4:$BU$73,11,0)&lt;&gt;"",J$1,"")</f>
        <v/>
      </c>
      <c r="K13" t="str">
        <f>IF(VLOOKUP($A13,Tabelle1!$A$4:$BU$73,12,0)&lt;&gt;"",K$1,"")</f>
        <v/>
      </c>
      <c r="L13" t="str">
        <f>IF(VLOOKUP($A13,Tabelle1!$A$4:$BU$73,13,0)&lt;&gt;"",L$1,"")</f>
        <v/>
      </c>
      <c r="M13" t="str">
        <f>IF(VLOOKUP($A13,Tabelle1!$A$4:$BU$73,14,0)&lt;&gt;"",M$1,"")</f>
        <v/>
      </c>
      <c r="N13" t="str">
        <f>IF(VLOOKUP($A13,Tabelle1!$A$4:$BU$73,15,0)&lt;&gt;"",N$1,"")</f>
        <v/>
      </c>
      <c r="O13" t="str">
        <f>IF(VLOOKUP($A13,Tabelle1!$A$4:$BU$73,16,0)&lt;&gt;"",O$1,"")</f>
        <v/>
      </c>
      <c r="P13" t="str">
        <f>IF(VLOOKUP($A13,Tabelle1!$A$4:$BU$73,17,0)&lt;&gt;"",P$1,"")</f>
        <v/>
      </c>
      <c r="Q13" t="str">
        <f>IF(VLOOKUP($A13,Tabelle1!$A$4:$BU$73,18,0)&lt;&gt;"",Q$1,"")</f>
        <v/>
      </c>
      <c r="R13" t="str">
        <f>IF(VLOOKUP($A13,Tabelle1!$A$4:$BU$73,19,0)&lt;&gt;"",R$1,"")</f>
        <v/>
      </c>
      <c r="S13" t="str">
        <f>IF(VLOOKUP($A13,Tabelle1!$A$4:$BU$73,20,0)&lt;&gt;"",S$1,"")</f>
        <v/>
      </c>
      <c r="T13" t="str">
        <f>IF(VLOOKUP($A13,Tabelle1!$A$4:$BU$73,21,0)&lt;&gt;"",T$1,"")</f>
        <v/>
      </c>
      <c r="U13" t="str">
        <f>IF(VLOOKUP($A13,Tabelle1!$A$4:$BU$73,22,0)&lt;&gt;"",U$1,"")</f>
        <v/>
      </c>
      <c r="V13" t="str">
        <f>IF(VLOOKUP($A13,Tabelle1!$A$4:$BU$73,23,0)&lt;&gt;"",V$1,"")</f>
        <v/>
      </c>
      <c r="W13" t="str">
        <f>IF(VLOOKUP($A13,Tabelle1!$A$4:$BU$73,24,0)&lt;&gt;"",W$1,"")</f>
        <v>Krumenklee</v>
      </c>
      <c r="X13" t="str">
        <f>IF(VLOOKUP($A13,Tabelle1!$A$4:$BU$73,25,0)&lt;&gt;"",X$1,"")</f>
        <v/>
      </c>
      <c r="Y13" t="str">
        <f>IF(VLOOKUP($A13,Tabelle1!$A$4:$BU$73,26,0)&lt;&gt;"",Y$1,"")</f>
        <v/>
      </c>
      <c r="Z13" t="str">
        <f>IF(VLOOKUP($A13,Tabelle1!$A$4:$BU$73,27,0)&lt;&gt;"",Z$1,"")</f>
        <v/>
      </c>
      <c r="AA13" t="str">
        <f>IF(VLOOKUP($A13,Tabelle1!$A$4:$BU$73,28,0)&lt;&gt;"",AA$1,"")</f>
        <v/>
      </c>
      <c r="AB13" t="str">
        <f>IF(VLOOKUP($A13,Tabelle1!$A$4:$BU$73,29,0)&lt;&gt;"",AB$1,"")</f>
        <v/>
      </c>
      <c r="AC13" t="str">
        <f>IF(VLOOKUP($A13,Tabelle1!$A$4:$BU$73,30,0)&lt;&gt;"",AC$1,"")</f>
        <v>Schwarzsamen/Ramtilkraut/Gingellikraut/Mungo</v>
      </c>
      <c r="AD13" t="str">
        <f>IF(VLOOKUP($A13,Tabelle1!$A$4:$BU$73,31,0)&lt;&gt;"",AD$1,"")</f>
        <v/>
      </c>
      <c r="AE13" t="str">
        <f>IF(VLOOKUP($A13,Tabelle1!$A$4:$BU$73,32,0)&lt;&gt;"",AE$1,"")</f>
        <v/>
      </c>
      <c r="AF13" t="str">
        <f>IF(VLOOKUP($A13,Tabelle1!$A$4:$BU$73,33,0)&lt;&gt;"",AF$1,"")</f>
        <v/>
      </c>
      <c r="AG13" t="str">
        <f>IF(VLOOKUP($A13,Tabelle1!$A$4:$BU$73,34,0)&lt;&gt;"",AG$1,"")</f>
        <v/>
      </c>
      <c r="AH13" t="str">
        <f>IF(VLOOKUP($A13,Tabelle1!$A$4:$BU$73,35,0)&lt;&gt;"",AH$1,"")</f>
        <v/>
      </c>
      <c r="AI13" t="str">
        <f>IF(VLOOKUP($A13,Tabelle1!$A$4:$BU$73,36,0)&lt;&gt;"",AI$1,"")</f>
        <v/>
      </c>
      <c r="AJ13" t="str">
        <f>IF(VLOOKUP($A13,Tabelle1!$A$4:$BU$73,37,0)&lt;&gt;"",AJ$1,"")</f>
        <v/>
      </c>
      <c r="AK13" t="str">
        <f>IF(VLOOKUP($A13,Tabelle1!$A$4:$BU$73,38,0)&lt;&gt;"",AK$1,"")</f>
        <v/>
      </c>
      <c r="AL13" t="str">
        <f>IF(VLOOKUP($A13,Tabelle1!$A$4:$BU$73,39,0)&lt;&gt;"",AL$1,"")</f>
        <v/>
      </c>
      <c r="AM13" t="str">
        <f>IF(VLOOKUP($A13,Tabelle1!$A$4:$BU$73,40,0)&lt;&gt;"",AM$1,"")</f>
        <v/>
      </c>
      <c r="AN13" t="str">
        <f>IF(VLOOKUP($A13,Tabelle1!$A$4:$BU$73,41,0)&lt;&gt;"",AN$1,"")</f>
        <v/>
      </c>
      <c r="AO13" t="str">
        <f>IF(VLOOKUP($A13,Tabelle1!$A$4:$BU$73,42,0)&lt;&gt;"",AO$1,"")</f>
        <v/>
      </c>
      <c r="AP13" t="str">
        <f>IF(VLOOKUP($A13,Tabelle1!$A$4:$BU$73,43,0)&lt;&gt;"",AP$1,"")</f>
        <v/>
      </c>
      <c r="AQ13" t="str">
        <f>IF(VLOOKUP($A13,Tabelle1!$A$4:$BU$73,44,0)&lt;&gt;"",AQ$1,"")</f>
        <v/>
      </c>
      <c r="AR13" t="str">
        <f>IF(VLOOKUP($A13,Tabelle1!$A$4:$BU$73,45,0)&lt;&gt;"",AR$1,"")</f>
        <v/>
      </c>
      <c r="AS13" t="str">
        <f>IF(VLOOKUP($A13,Tabelle1!$A$4:$BU$73,46,0)&lt;&gt;"",AS$1,"")</f>
        <v/>
      </c>
      <c r="AT13" t="str">
        <f>IF(VLOOKUP($A13,Tabelle1!$A$4:$BU$73,47,0)&lt;&gt;"",AT$1,"")</f>
        <v/>
      </c>
      <c r="AU13" t="str">
        <f>IF(VLOOKUP($A13,Tabelle1!$A$4:$BU$73,48,0)&lt;&gt;"",AU$1,"")</f>
        <v/>
      </c>
      <c r="AV13" t="str">
        <f>IF(VLOOKUP($A13,Tabelle1!$A$4:$BU$73,49,0)&lt;&gt;"",AV$1,"")</f>
        <v/>
      </c>
      <c r="AW13" t="str">
        <f>IF(VLOOKUP($A13,Tabelle1!$A$4:$BU$73,50,0)&lt;&gt;"",AW$1,"")</f>
        <v/>
      </c>
      <c r="AX13" t="str">
        <f>IF(VLOOKUP($A13,Tabelle1!$A$4:$BU$73,51,0)&lt;&gt;"",AX$1,"")</f>
        <v/>
      </c>
      <c r="AY13" t="str">
        <f>IF(VLOOKUP($A13,Tabelle1!$A$4:$BU$73,52,0)&lt;&gt;"",AY$1,"")</f>
        <v/>
      </c>
      <c r="AZ13" t="str">
        <f>IF(VLOOKUP($A13,Tabelle1!$A$4:$BU$73,53,0)&lt;&gt;"",AZ$1,"")</f>
        <v/>
      </c>
      <c r="BA13" t="str">
        <f>IF(VLOOKUP($A13,Tabelle1!$A$4:$BU$73,54,0)&lt;&gt;"",BA$1,"")</f>
        <v/>
      </c>
      <c r="BB13" t="str">
        <f>IF(VLOOKUP($A13,Tabelle1!$A$4:$BU$73,55,0)&lt;&gt;"",BB$1,"")</f>
        <v/>
      </c>
      <c r="BC13" t="str">
        <f>IF(VLOOKUP($A13,Tabelle1!$A$4:$BU$73,56,0)&lt;&gt;"",BC$1,"")</f>
        <v/>
      </c>
      <c r="BD13" t="str">
        <f>IF(VLOOKUP($A13,Tabelle1!$A$4:$BU$73,57,0)&lt;&gt;"",BD$1,"")</f>
        <v/>
      </c>
      <c r="BE13" t="str">
        <f>IF(VLOOKUP($A13,Tabelle1!$A$4:$BU$73,58,0)&lt;&gt;"",BE$1,"")</f>
        <v/>
      </c>
      <c r="BF13" t="str">
        <f>IF(VLOOKUP($A13,Tabelle1!$A$4:$BU$73,59,0)&lt;&gt;"",BF$1,"")</f>
        <v/>
      </c>
      <c r="BG13" t="str">
        <f>IF(VLOOKUP($A13,Tabelle1!$A$4:$BU$73,60,0)&lt;&gt;"",BG$1,"")</f>
        <v/>
      </c>
      <c r="BH13" t="str">
        <f>IF(VLOOKUP($A13,Tabelle1!$A$4:$BU$73,61,0)&lt;&gt;"",BH$1,"")</f>
        <v/>
      </c>
      <c r="BI13" t="str">
        <f>IF(VLOOKUP($A13,Tabelle1!$A$4:$BU$73,62,0)&lt;&gt;"",BI$1,"")</f>
        <v/>
      </c>
      <c r="BJ13" t="str">
        <f>IF(VLOOKUP($A13,Tabelle1!$A$4:$BU$73,63,0)&lt;&gt;"",BJ$1,"")</f>
        <v/>
      </c>
      <c r="BK13" t="str">
        <f>IF(VLOOKUP($A13,Tabelle1!$A$4:$BU$73,64,0)&lt;&gt;"",BK$1,"")</f>
        <v/>
      </c>
      <c r="BL13" t="str">
        <f>IF(VLOOKUP($A13,Tabelle1!$A$4:$BU$73,65,0)&lt;&gt;"",BL$1,"")</f>
        <v/>
      </c>
      <c r="BM13" t="str">
        <f>IF(VLOOKUP($A13,Tabelle1!$A$4:$BU$73,66,0)&lt;&gt;"",BM$1,"")</f>
        <v/>
      </c>
      <c r="BN13" t="str">
        <f>IF(VLOOKUP($A13,Tabelle1!$A$4:$BU$73,67,0)&lt;&gt;"",BN$1,"")</f>
        <v/>
      </c>
      <c r="BO13" t="str">
        <f>IF(VLOOKUP($A13,Tabelle1!$A$4:$BU$73,68,0)&lt;&gt;"",BO$1,"")</f>
        <v/>
      </c>
      <c r="BP13" t="str">
        <f>IF(VLOOKUP($A13,Tabelle1!$A$4:$BU$73,69,0)&lt;&gt;"",BP$1,"")</f>
        <v/>
      </c>
      <c r="BQ13" t="str">
        <f>IF(VLOOKUP($A13,Tabelle1!$A$4:$BU$73,70,0)&lt;&gt;"",BQ$1,"")</f>
        <v/>
      </c>
      <c r="BR13" t="str">
        <f>IF(VLOOKUP($A13,Tabelle1!$A$4:$BU$73,71,0)&lt;&gt;"",BR$1,"")</f>
        <v/>
      </c>
      <c r="BS13" t="str">
        <f>IF(VLOOKUP($A13,Tabelle1!$A$4:$BU$73,72,0)&lt;&gt;"",BS$1,"")</f>
        <v/>
      </c>
      <c r="BT13" t="str">
        <f>IF(VLOOKUP($A13,Tabelle1!$A$4:$BU$73,73,0)&lt;&gt;"",BT$1,"")</f>
        <v/>
      </c>
    </row>
    <row r="14" spans="1:73" x14ac:dyDescent="0.2">
      <c r="A14" t="s">
        <v>793</v>
      </c>
      <c r="B14">
        <v>30</v>
      </c>
      <c r="C14" s="214">
        <v>3.7394500000000002</v>
      </c>
      <c r="D14" t="str">
        <f>IF(VLOOKUP($A14,Tabelle1!$A$4:$BU$73,5,0)&lt;&gt;"",D$1,"")</f>
        <v/>
      </c>
      <c r="E14" t="str">
        <f>IF(VLOOKUP($A14,Tabelle1!$A$4:$BU$73,6,0)&lt;&gt;"",E$1,"")</f>
        <v/>
      </c>
      <c r="F14" t="str">
        <f>IF(VLOOKUP($A14,Tabelle1!$A$4:$BU$73,7,0)&lt;&gt;"",F$1,"")</f>
        <v/>
      </c>
      <c r="G14" t="str">
        <f>IF(VLOOKUP($A14,Tabelle1!$A$4:$BU$73,8,0)&lt;&gt;"",G$1,"")</f>
        <v/>
      </c>
      <c r="H14" t="str">
        <f>IF(VLOOKUP($A14,Tabelle1!$A$4:$BU$73,9,0)&lt;&gt;"",H$1,"")</f>
        <v/>
      </c>
      <c r="I14" t="str">
        <f>IF(VLOOKUP($A14,Tabelle1!$A$4:$BU$73,10,0)&lt;&gt;"",I$1,"")</f>
        <v xml:space="preserve">Buchweizen </v>
      </c>
      <c r="J14" t="str">
        <f>IF(VLOOKUP($A14,Tabelle1!$A$4:$BU$73,11,0)&lt;&gt;"",J$1,"")</f>
        <v/>
      </c>
      <c r="K14" t="str">
        <f>IF(VLOOKUP($A14,Tabelle1!$A$4:$BU$73,12,0)&lt;&gt;"",K$1,"")</f>
        <v/>
      </c>
      <c r="L14" t="str">
        <f>IF(VLOOKUP($A14,Tabelle1!$A$4:$BU$73,13,0)&lt;&gt;"",L$1,"")</f>
        <v/>
      </c>
      <c r="M14" t="str">
        <f>IF(VLOOKUP($A14,Tabelle1!$A$4:$BU$73,14,0)&lt;&gt;"",M$1,"")</f>
        <v/>
      </c>
      <c r="N14" t="str">
        <f>IF(VLOOKUP($A14,Tabelle1!$A$4:$BU$73,15,0)&lt;&gt;"",N$1,"")</f>
        <v/>
      </c>
      <c r="O14" t="str">
        <f>IF(VLOOKUP($A14,Tabelle1!$A$4:$BU$73,16,0)&lt;&gt;"",O$1,"")</f>
        <v/>
      </c>
      <c r="P14" t="str">
        <f>IF(VLOOKUP($A14,Tabelle1!$A$4:$BU$73,17,0)&lt;&gt;"",P$1,"")</f>
        <v/>
      </c>
      <c r="Q14" t="str">
        <f>IF(VLOOKUP($A14,Tabelle1!$A$4:$BU$73,18,0)&lt;&gt;"",Q$1,"")</f>
        <v/>
      </c>
      <c r="R14" t="str">
        <f>IF(VLOOKUP($A14,Tabelle1!$A$4:$BU$73,19,0)&lt;&gt;"",R$1,"")</f>
        <v/>
      </c>
      <c r="S14" t="str">
        <f>IF(VLOOKUP($A14,Tabelle1!$A$4:$BU$73,20,0)&lt;&gt;"",S$1,"")</f>
        <v/>
      </c>
      <c r="T14" t="str">
        <f>IF(VLOOKUP($A14,Tabelle1!$A$4:$BU$73,21,0)&lt;&gt;"",T$1,"")</f>
        <v/>
      </c>
      <c r="U14" t="str">
        <f>IF(VLOOKUP($A14,Tabelle1!$A$4:$BU$73,22,0)&lt;&gt;"",U$1,"")</f>
        <v/>
      </c>
      <c r="V14" t="str">
        <f>IF(VLOOKUP($A14,Tabelle1!$A$4:$BU$73,23,0)&lt;&gt;"",V$1,"")</f>
        <v/>
      </c>
      <c r="W14" t="str">
        <f>IF(VLOOKUP($A14,Tabelle1!$A$4:$BU$73,24,0)&lt;&gt;"",W$1,"")</f>
        <v/>
      </c>
      <c r="X14" t="str">
        <f>IF(VLOOKUP($A14,Tabelle1!$A$4:$BU$73,25,0)&lt;&gt;"",X$1,"")</f>
        <v/>
      </c>
      <c r="Y14" t="str">
        <f>IF(VLOOKUP($A14,Tabelle1!$A$4:$BU$73,26,0)&lt;&gt;"",Y$1,"")</f>
        <v/>
      </c>
      <c r="Z14" t="str">
        <f>IF(VLOOKUP($A14,Tabelle1!$A$4:$BU$73,27,0)&lt;&gt;"",Z$1,"")</f>
        <v/>
      </c>
      <c r="AA14" t="str">
        <f>IF(VLOOKUP($A14,Tabelle1!$A$4:$BU$73,28,0)&lt;&gt;"",AA$1,"")</f>
        <v/>
      </c>
      <c r="AB14" t="str">
        <f>IF(VLOOKUP($A14,Tabelle1!$A$4:$BU$73,29,0)&lt;&gt;"",AB$1,"")</f>
        <v/>
      </c>
      <c r="AC14" t="str">
        <f>IF(VLOOKUP($A14,Tabelle1!$A$4:$BU$73,30,0)&lt;&gt;"",AC$1,"")</f>
        <v/>
      </c>
      <c r="AD14" t="str">
        <f>IF(VLOOKUP($A14,Tabelle1!$A$4:$BU$73,31,0)&lt;&gt;"",AD$1,"")</f>
        <v/>
      </c>
      <c r="AE14" t="str">
        <f>IF(VLOOKUP($A14,Tabelle1!$A$4:$BU$73,32,0)&lt;&gt;"",AE$1,"")</f>
        <v>Ölrettich</v>
      </c>
      <c r="AF14" t="str">
        <f>IF(VLOOKUP($A14,Tabelle1!$A$4:$BU$73,33,0)&lt;&gt;"",AF$1,"")</f>
        <v/>
      </c>
      <c r="AG14" t="str">
        <f>IF(VLOOKUP($A14,Tabelle1!$A$4:$BU$73,34,0)&lt;&gt;"",AG$1,"")</f>
        <v/>
      </c>
      <c r="AH14" t="str">
        <f>IF(VLOOKUP($A14,Tabelle1!$A$4:$BU$73,35,0)&lt;&gt;"",AH$1,"")</f>
        <v>Phazelie</v>
      </c>
      <c r="AI14" t="str">
        <f>IF(VLOOKUP($A14,Tabelle1!$A$4:$BU$73,36,0)&lt;&gt;"",AI$1,"")</f>
        <v/>
      </c>
      <c r="AJ14" t="str">
        <f>IF(VLOOKUP($A14,Tabelle1!$A$4:$BU$73,37,0)&lt;&gt;"",AJ$1,"")</f>
        <v/>
      </c>
      <c r="AK14" t="str">
        <f>IF(VLOOKUP($A14,Tabelle1!$A$4:$BU$73,38,0)&lt;&gt;"",AK$1,"")</f>
        <v/>
      </c>
      <c r="AL14" t="str">
        <f>IF(VLOOKUP($A14,Tabelle1!$A$4:$BU$73,39,0)&lt;&gt;"",AL$1,"")</f>
        <v/>
      </c>
      <c r="AM14" t="str">
        <f>IF(VLOOKUP($A14,Tabelle1!$A$4:$BU$73,40,0)&lt;&gt;"",AM$1,"")</f>
        <v/>
      </c>
      <c r="AN14" t="str">
        <f>IF(VLOOKUP($A14,Tabelle1!$A$4:$BU$73,41,0)&lt;&gt;"",AN$1,"")</f>
        <v/>
      </c>
      <c r="AO14" t="str">
        <f>IF(VLOOKUP($A14,Tabelle1!$A$4:$BU$73,42,0)&lt;&gt;"",AO$1,"")</f>
        <v/>
      </c>
      <c r="AP14" t="str">
        <f>IF(VLOOKUP($A14,Tabelle1!$A$4:$BU$73,43,0)&lt;&gt;"",AP$1,"")</f>
        <v/>
      </c>
      <c r="AQ14" t="str">
        <f>IF(VLOOKUP($A14,Tabelle1!$A$4:$BU$73,44,0)&lt;&gt;"",AQ$1,"")</f>
        <v/>
      </c>
      <c r="AR14" t="str">
        <f>IF(VLOOKUP($A14,Tabelle1!$A$4:$BU$73,45,0)&lt;&gt;"",AR$1,"")</f>
        <v>Senf</v>
      </c>
      <c r="AS14" t="str">
        <f>IF(VLOOKUP($A14,Tabelle1!$A$4:$BU$73,46,0)&lt;&gt;"",AS$1,"")</f>
        <v/>
      </c>
      <c r="AT14" t="str">
        <f>IF(VLOOKUP($A14,Tabelle1!$A$4:$BU$73,47,0)&lt;&gt;"",AT$1,"")</f>
        <v/>
      </c>
      <c r="AU14" t="str">
        <f>IF(VLOOKUP($A14,Tabelle1!$A$4:$BU$73,48,0)&lt;&gt;"",AU$1,"")</f>
        <v/>
      </c>
      <c r="AV14" t="str">
        <f>IF(VLOOKUP($A14,Tabelle1!$A$4:$BU$73,49,0)&lt;&gt;"",AV$1,"")</f>
        <v/>
      </c>
      <c r="AW14" t="str">
        <f>IF(VLOOKUP($A14,Tabelle1!$A$4:$BU$73,50,0)&lt;&gt;"",AW$1,"")</f>
        <v/>
      </c>
      <c r="AX14" t="str">
        <f>IF(VLOOKUP($A14,Tabelle1!$A$4:$BU$73,51,0)&lt;&gt;"",AX$1,"")</f>
        <v/>
      </c>
      <c r="AY14" t="str">
        <f>IF(VLOOKUP($A14,Tabelle1!$A$4:$BU$73,52,0)&lt;&gt;"",AY$1,"")</f>
        <v/>
      </c>
      <c r="AZ14" t="str">
        <f>IF(VLOOKUP($A14,Tabelle1!$A$4:$BU$73,53,0)&lt;&gt;"",AZ$1,"")</f>
        <v/>
      </c>
      <c r="BA14" t="str">
        <f>IF(VLOOKUP($A14,Tabelle1!$A$4:$BU$73,54,0)&lt;&gt;"",BA$1,"")</f>
        <v/>
      </c>
      <c r="BB14" t="str">
        <f>IF(VLOOKUP($A14,Tabelle1!$A$4:$BU$73,55,0)&lt;&gt;"",BB$1,"")</f>
        <v/>
      </c>
      <c r="BC14" t="str">
        <f>IF(VLOOKUP($A14,Tabelle1!$A$4:$BU$73,56,0)&lt;&gt;"",BC$1,"")</f>
        <v/>
      </c>
      <c r="BD14" t="str">
        <f>IF(VLOOKUP($A14,Tabelle1!$A$4:$BU$73,57,0)&lt;&gt;"",BD$1,"")</f>
        <v/>
      </c>
      <c r="BE14" t="str">
        <f>IF(VLOOKUP($A14,Tabelle1!$A$4:$BU$73,58,0)&lt;&gt;"",BE$1,"")</f>
        <v/>
      </c>
      <c r="BF14" t="str">
        <f>IF(VLOOKUP($A14,Tabelle1!$A$4:$BU$73,59,0)&lt;&gt;"",BF$1,"")</f>
        <v/>
      </c>
      <c r="BG14" t="str">
        <f>IF(VLOOKUP($A14,Tabelle1!$A$4:$BU$73,60,0)&lt;&gt;"",BG$1,"")</f>
        <v/>
      </c>
      <c r="BH14" t="str">
        <f>IF(VLOOKUP($A14,Tabelle1!$A$4:$BU$73,61,0)&lt;&gt;"",BH$1,"")</f>
        <v/>
      </c>
      <c r="BI14" t="str">
        <f>IF(VLOOKUP($A14,Tabelle1!$A$4:$BU$73,62,0)&lt;&gt;"",BI$1,"")</f>
        <v/>
      </c>
      <c r="BJ14" t="str">
        <f>IF(VLOOKUP($A14,Tabelle1!$A$4:$BU$73,63,0)&lt;&gt;"",BJ$1,"")</f>
        <v/>
      </c>
      <c r="BK14" t="str">
        <f>IF(VLOOKUP($A14,Tabelle1!$A$4:$BU$73,64,0)&lt;&gt;"",BK$1,"")</f>
        <v/>
      </c>
      <c r="BL14" t="str">
        <f>IF(VLOOKUP($A14,Tabelle1!$A$4:$BU$73,65,0)&lt;&gt;"",BL$1,"")</f>
        <v/>
      </c>
      <c r="BM14" t="str">
        <f>IF(VLOOKUP($A14,Tabelle1!$A$4:$BU$73,66,0)&lt;&gt;"",BM$1,"")</f>
        <v/>
      </c>
      <c r="BN14" t="str">
        <f>IF(VLOOKUP($A14,Tabelle1!$A$4:$BU$73,67,0)&lt;&gt;"",BN$1,"")</f>
        <v/>
      </c>
      <c r="BO14" t="str">
        <f>IF(VLOOKUP($A14,Tabelle1!$A$4:$BU$73,68,0)&lt;&gt;"",BO$1,"")</f>
        <v/>
      </c>
      <c r="BP14" t="str">
        <f>IF(VLOOKUP($A14,Tabelle1!$A$4:$BU$73,69,0)&lt;&gt;"",BP$1,"")</f>
        <v/>
      </c>
      <c r="BQ14" t="str">
        <f>IF(VLOOKUP($A14,Tabelle1!$A$4:$BU$73,70,0)&lt;&gt;"",BQ$1,"")</f>
        <v/>
      </c>
      <c r="BR14" t="str">
        <f>IF(VLOOKUP($A14,Tabelle1!$A$4:$BU$73,71,0)&lt;&gt;"",BR$1,"")</f>
        <v/>
      </c>
      <c r="BS14" t="str">
        <f>IF(VLOOKUP($A14,Tabelle1!$A$4:$BU$73,72,0)&lt;&gt;"",BS$1,"")</f>
        <v/>
      </c>
      <c r="BT14" t="str">
        <f>IF(VLOOKUP($A14,Tabelle1!$A$4:$BU$73,73,0)&lt;&gt;"",BT$1,"")</f>
        <v/>
      </c>
    </row>
    <row r="15" spans="1:73" x14ac:dyDescent="0.2">
      <c r="A15" t="s">
        <v>872</v>
      </c>
      <c r="B15">
        <v>10</v>
      </c>
      <c r="C15" s="214">
        <v>7.6779999999999999</v>
      </c>
      <c r="D15" t="str">
        <f>IF(VLOOKUP($A15,Tabelle1!$A$4:$BU$73,5,0)&lt;&gt;"",D$1,"")</f>
        <v/>
      </c>
      <c r="E15" t="str">
        <f>IF(VLOOKUP($A15,Tabelle1!$A$4:$BU$73,6,0)&lt;&gt;"",E$1,"")</f>
        <v/>
      </c>
      <c r="F15" t="str">
        <f>IF(VLOOKUP($A15,Tabelle1!$A$4:$BU$73,7,0)&lt;&gt;"",F$1,"")</f>
        <v/>
      </c>
      <c r="G15" t="str">
        <f>IF(VLOOKUP($A15,Tabelle1!$A$4:$BU$73,8,0)&lt;&gt;"",G$1,"")</f>
        <v/>
      </c>
      <c r="H15" t="str">
        <f>IF(VLOOKUP($A15,Tabelle1!$A$4:$BU$73,9,0)&lt;&gt;"",H$1,"")</f>
        <v/>
      </c>
      <c r="I15" t="str">
        <f>IF(VLOOKUP($A15,Tabelle1!$A$4:$BU$73,10,0)&lt;&gt;"",I$1,"")</f>
        <v/>
      </c>
      <c r="J15" t="str">
        <f>IF(VLOOKUP($A15,Tabelle1!$A$4:$BU$73,11,0)&lt;&gt;"",J$1,"")</f>
        <v/>
      </c>
      <c r="K15" t="str">
        <f>IF(VLOOKUP($A15,Tabelle1!$A$4:$BU$73,12,0)&lt;&gt;"",K$1,"")</f>
        <v/>
      </c>
      <c r="L15" t="str">
        <f>IF(VLOOKUP($A15,Tabelle1!$A$4:$BU$73,13,0)&lt;&gt;"",L$1,"")</f>
        <v/>
      </c>
      <c r="M15" t="str">
        <f>IF(VLOOKUP($A15,Tabelle1!$A$4:$BU$73,14,0)&lt;&gt;"",M$1,"")</f>
        <v/>
      </c>
      <c r="N15" t="str">
        <f>IF(VLOOKUP($A15,Tabelle1!$A$4:$BU$73,15,0)&lt;&gt;"",N$1,"")</f>
        <v/>
      </c>
      <c r="O15" t="str">
        <f>IF(VLOOKUP($A15,Tabelle1!$A$4:$BU$73,16,0)&lt;&gt;"",O$1,"")</f>
        <v/>
      </c>
      <c r="P15" t="str">
        <f>IF(VLOOKUP($A15,Tabelle1!$A$4:$BU$73,17,0)&lt;&gt;"",P$1,"")</f>
        <v/>
      </c>
      <c r="Q15" t="str">
        <f>IF(VLOOKUP($A15,Tabelle1!$A$4:$BU$73,18,0)&lt;&gt;"",Q$1,"")</f>
        <v/>
      </c>
      <c r="R15" t="str">
        <f>IF(VLOOKUP($A15,Tabelle1!$A$4:$BU$73,19,0)&lt;&gt;"",R$1,"")</f>
        <v/>
      </c>
      <c r="S15" t="str">
        <f>IF(VLOOKUP($A15,Tabelle1!$A$4:$BU$73,20,0)&lt;&gt;"",S$1,"")</f>
        <v/>
      </c>
      <c r="T15" t="str">
        <f>IF(VLOOKUP($A15,Tabelle1!$A$4:$BU$73,21,0)&lt;&gt;"",T$1,"")</f>
        <v/>
      </c>
      <c r="U15" t="str">
        <f>IF(VLOOKUP($A15,Tabelle1!$A$4:$BU$73,22,0)&lt;&gt;"",U$1,"")</f>
        <v/>
      </c>
      <c r="V15" t="str">
        <f>IF(VLOOKUP($A15,Tabelle1!$A$4:$BU$73,23,0)&lt;&gt;"",V$1,"")</f>
        <v/>
      </c>
      <c r="W15" t="str">
        <f>IF(VLOOKUP($A15,Tabelle1!$A$4:$BU$73,24,0)&lt;&gt;"",W$1,"")</f>
        <v/>
      </c>
      <c r="X15" t="str">
        <f>IF(VLOOKUP($A15,Tabelle1!$A$4:$BU$73,25,0)&lt;&gt;"",X$1,"")</f>
        <v/>
      </c>
      <c r="Y15" t="str">
        <f>IF(VLOOKUP($A15,Tabelle1!$A$4:$BU$73,26,0)&lt;&gt;"",Y$1,"")</f>
        <v/>
      </c>
      <c r="Z15" t="str">
        <f>IF(VLOOKUP($A15,Tabelle1!$A$4:$BU$73,27,0)&lt;&gt;"",Z$1,"")</f>
        <v/>
      </c>
      <c r="AA15" t="str">
        <f>IF(VLOOKUP($A15,Tabelle1!$A$4:$BU$73,28,0)&lt;&gt;"",AA$1,"")</f>
        <v/>
      </c>
      <c r="AB15" t="str">
        <f>IF(VLOOKUP($A15,Tabelle1!$A$4:$BU$73,29,0)&lt;&gt;"",AB$1,"")</f>
        <v/>
      </c>
      <c r="AC15" t="str">
        <f>IF(VLOOKUP($A15,Tabelle1!$A$4:$BU$73,30,0)&lt;&gt;"",AC$1,"")</f>
        <v/>
      </c>
      <c r="AD15" t="str">
        <f>IF(VLOOKUP($A15,Tabelle1!$A$4:$BU$73,31,0)&lt;&gt;"",AD$1,"")</f>
        <v/>
      </c>
      <c r="AE15" t="str">
        <f>IF(VLOOKUP($A15,Tabelle1!$A$4:$BU$73,32,0)&lt;&gt;"",AE$1,"")</f>
        <v/>
      </c>
      <c r="AF15" t="str">
        <f>IF(VLOOKUP($A15,Tabelle1!$A$4:$BU$73,33,0)&lt;&gt;"",AF$1,"")</f>
        <v/>
      </c>
      <c r="AG15" t="str">
        <f>IF(VLOOKUP($A15,Tabelle1!$A$4:$BU$73,34,0)&lt;&gt;"",AG$1,"")</f>
        <v/>
      </c>
      <c r="AH15" t="str">
        <f>IF(VLOOKUP($A15,Tabelle1!$A$4:$BU$73,35,0)&lt;&gt;"",AH$1,"")</f>
        <v/>
      </c>
      <c r="AI15" t="str">
        <f>IF(VLOOKUP($A15,Tabelle1!$A$4:$BU$73,36,0)&lt;&gt;"",AI$1,"")</f>
        <v/>
      </c>
      <c r="AJ15" t="str">
        <f>IF(VLOOKUP($A15,Tabelle1!$A$4:$BU$73,37,0)&lt;&gt;"",AJ$1,"")</f>
        <v/>
      </c>
      <c r="AK15" t="str">
        <f>IF(VLOOKUP($A15,Tabelle1!$A$4:$BU$73,38,0)&lt;&gt;"",AK$1,"")</f>
        <v/>
      </c>
      <c r="AL15" t="str">
        <f>IF(VLOOKUP($A15,Tabelle1!$A$4:$BU$73,39,0)&lt;&gt;"",AL$1,"")</f>
        <v/>
      </c>
      <c r="AM15" t="str">
        <f>IF(VLOOKUP($A15,Tabelle1!$A$4:$BU$73,40,0)&lt;&gt;"",AM$1,"")</f>
        <v/>
      </c>
      <c r="AN15" t="str">
        <f>IF(VLOOKUP($A15,Tabelle1!$A$4:$BU$73,41,0)&lt;&gt;"",AN$1,"")</f>
        <v/>
      </c>
      <c r="AO15" t="str">
        <f>IF(VLOOKUP($A15,Tabelle1!$A$4:$BU$73,42,0)&lt;&gt;"",AO$1,"")</f>
        <v/>
      </c>
      <c r="AP15" t="str">
        <f>IF(VLOOKUP($A15,Tabelle1!$A$4:$BU$73,43,0)&lt;&gt;"",AP$1,"")</f>
        <v/>
      </c>
      <c r="AQ15" t="str">
        <f>IF(VLOOKUP($A15,Tabelle1!$A$4:$BU$73,44,0)&lt;&gt;"",AQ$1,"")</f>
        <v/>
      </c>
      <c r="AR15" t="str">
        <f>IF(VLOOKUP($A15,Tabelle1!$A$4:$BU$73,45,0)&lt;&gt;"",AR$1,"")</f>
        <v/>
      </c>
      <c r="AS15" t="str">
        <f>IF(VLOOKUP($A15,Tabelle1!$A$4:$BU$73,46,0)&lt;&gt;"",AS$1,"")</f>
        <v/>
      </c>
      <c r="AT15" t="str">
        <f>IF(VLOOKUP($A15,Tabelle1!$A$4:$BU$73,47,0)&lt;&gt;"",AT$1,"")</f>
        <v/>
      </c>
      <c r="AU15" t="str">
        <f>IF(VLOOKUP($A15,Tabelle1!$A$4:$BU$73,48,0)&lt;&gt;"",AU$1,"")</f>
        <v/>
      </c>
      <c r="AV15" t="str">
        <f>IF(VLOOKUP($A15,Tabelle1!$A$4:$BU$73,49,0)&lt;&gt;"",AV$1,"")</f>
        <v>Spitzwegerich</v>
      </c>
      <c r="AW15" t="str">
        <f>IF(VLOOKUP($A15,Tabelle1!$A$4:$BU$73,50,0)&lt;&gt;"",AW$1,"")</f>
        <v/>
      </c>
      <c r="AX15" t="str">
        <f>IF(VLOOKUP($A15,Tabelle1!$A$4:$BU$73,51,0)&lt;&gt;"",AX$1,"")</f>
        <v/>
      </c>
      <c r="AY15" t="str">
        <f>IF(VLOOKUP($A15,Tabelle1!$A$4:$BU$73,52,0)&lt;&gt;"",AY$1,"")</f>
        <v/>
      </c>
      <c r="AZ15" t="str">
        <f>IF(VLOOKUP($A15,Tabelle1!$A$4:$BU$73,53,0)&lt;&gt;"",AZ$1,"")</f>
        <v>Weißklee</v>
      </c>
      <c r="BA15" t="str">
        <f>IF(VLOOKUP($A15,Tabelle1!$A$4:$BU$73,54,0)&lt;&gt;"",BA$1,"")</f>
        <v/>
      </c>
      <c r="BB15" t="str">
        <f>IF(VLOOKUP($A15,Tabelle1!$A$4:$BU$73,55,0)&lt;&gt;"",BB$1,"")</f>
        <v/>
      </c>
      <c r="BC15" t="str">
        <f>IF(VLOOKUP($A15,Tabelle1!$A$4:$BU$73,56,0)&lt;&gt;"",BC$1,"")</f>
        <v/>
      </c>
      <c r="BD15" t="str">
        <f>IF(VLOOKUP($A15,Tabelle1!$A$4:$BU$73,57,0)&lt;&gt;"",BD$1,"")</f>
        <v/>
      </c>
      <c r="BE15" t="str">
        <f>IF(VLOOKUP($A15,Tabelle1!$A$4:$BU$73,58,0)&lt;&gt;"",BE$1,"")</f>
        <v/>
      </c>
      <c r="BF15" t="str">
        <f>IF(VLOOKUP($A15,Tabelle1!$A$4:$BU$73,59,0)&lt;&gt;"",BF$1,"")</f>
        <v/>
      </c>
      <c r="BG15" t="str">
        <f>IF(VLOOKUP($A15,Tabelle1!$A$4:$BU$73,60,0)&lt;&gt;"",BG$1,"")</f>
        <v>Duringras</v>
      </c>
      <c r="BH15" t="str">
        <f>IF(VLOOKUP($A15,Tabelle1!$A$4:$BU$73,61,0)&lt;&gt;"",BH$1,"")</f>
        <v/>
      </c>
      <c r="BI15" t="str">
        <f>IF(VLOOKUP($A15,Tabelle1!$A$4:$BU$73,62,0)&lt;&gt;"",BI$1,"")</f>
        <v/>
      </c>
      <c r="BJ15" t="str">
        <f>IF(VLOOKUP($A15,Tabelle1!$A$4:$BU$73,63,0)&lt;&gt;"",BJ$1,"")</f>
        <v/>
      </c>
      <c r="BK15" t="str">
        <f>IF(VLOOKUP($A15,Tabelle1!$A$4:$BU$73,64,0)&lt;&gt;"",BK$1,"")</f>
        <v/>
      </c>
      <c r="BL15" t="str">
        <f>IF(VLOOKUP($A15,Tabelle1!$A$4:$BU$73,65,0)&lt;&gt;"",BL$1,"")</f>
        <v/>
      </c>
      <c r="BM15" t="str">
        <f>IF(VLOOKUP($A15,Tabelle1!$A$4:$BU$73,66,0)&lt;&gt;"",BM$1,"")</f>
        <v>Wegwarte</v>
      </c>
      <c r="BN15" t="str">
        <f>IF(VLOOKUP($A15,Tabelle1!$A$4:$BU$73,67,0)&lt;&gt;"",BN$1,"")</f>
        <v/>
      </c>
      <c r="BO15" t="str">
        <f>IF(VLOOKUP($A15,Tabelle1!$A$4:$BU$73,68,0)&lt;&gt;"",BO$1,"")</f>
        <v/>
      </c>
      <c r="BP15" t="str">
        <f>IF(VLOOKUP($A15,Tabelle1!$A$4:$BU$73,69,0)&lt;&gt;"",BP$1,"")</f>
        <v/>
      </c>
      <c r="BQ15" t="str">
        <f>IF(VLOOKUP($A15,Tabelle1!$A$4:$BU$73,70,0)&lt;&gt;"",BQ$1,"")</f>
        <v/>
      </c>
      <c r="BR15" t="str">
        <f>IF(VLOOKUP($A15,Tabelle1!$A$4:$BU$73,71,0)&lt;&gt;"",BR$1,"")</f>
        <v/>
      </c>
      <c r="BS15" t="str">
        <f>IF(VLOOKUP($A15,Tabelle1!$A$4:$BU$73,72,0)&lt;&gt;"",BS$1,"")</f>
        <v/>
      </c>
      <c r="BT15" t="str">
        <f>IF(VLOOKUP($A15,Tabelle1!$A$4:$BU$73,73,0)&lt;&gt;"",BT$1,"")</f>
        <v/>
      </c>
    </row>
    <row r="16" spans="1:73" x14ac:dyDescent="0.2">
      <c r="A16" t="s">
        <v>873</v>
      </c>
      <c r="B16">
        <v>15</v>
      </c>
      <c r="C16" s="214">
        <v>4.6236666666666668</v>
      </c>
      <c r="D16" t="str">
        <f>IF(VLOOKUP($A16,Tabelle1!$A$4:$BU$73,5,0)&lt;&gt;"",D$1,"")</f>
        <v/>
      </c>
      <c r="E16" t="str">
        <f>IF(VLOOKUP($A16,Tabelle1!$A$4:$BU$73,6,0)&lt;&gt;"",E$1,"")</f>
        <v/>
      </c>
      <c r="F16" t="str">
        <f>IF(VLOOKUP($A16,Tabelle1!$A$4:$BU$73,7,0)&lt;&gt;"",F$1,"")</f>
        <v/>
      </c>
      <c r="G16" t="str">
        <f>IF(VLOOKUP($A16,Tabelle1!$A$4:$BU$73,8,0)&lt;&gt;"",G$1,"")</f>
        <v/>
      </c>
      <c r="H16" t="str">
        <f>IF(VLOOKUP($A16,Tabelle1!$A$4:$BU$73,9,0)&lt;&gt;"",H$1,"")</f>
        <v/>
      </c>
      <c r="I16" t="str">
        <f>IF(VLOOKUP($A16,Tabelle1!$A$4:$BU$73,10,0)&lt;&gt;"",I$1,"")</f>
        <v/>
      </c>
      <c r="J16" t="str">
        <f>IF(VLOOKUP($A16,Tabelle1!$A$4:$BU$73,11,0)&lt;&gt;"",J$1,"")</f>
        <v/>
      </c>
      <c r="K16" t="str">
        <f>IF(VLOOKUP($A16,Tabelle1!$A$4:$BU$73,12,0)&lt;&gt;"",K$1,"")</f>
        <v/>
      </c>
      <c r="L16" t="str">
        <f>IF(VLOOKUP($A16,Tabelle1!$A$4:$BU$73,13,0)&lt;&gt;"",L$1,"")</f>
        <v/>
      </c>
      <c r="M16" t="str">
        <f>IF(VLOOKUP($A16,Tabelle1!$A$4:$BU$73,14,0)&lt;&gt;"",M$1,"")</f>
        <v/>
      </c>
      <c r="N16" t="str">
        <f>IF(VLOOKUP($A16,Tabelle1!$A$4:$BU$73,15,0)&lt;&gt;"",N$1,"")</f>
        <v/>
      </c>
      <c r="O16" t="str">
        <f>IF(VLOOKUP($A16,Tabelle1!$A$4:$BU$73,16,0)&lt;&gt;"",O$1,"")</f>
        <v/>
      </c>
      <c r="P16" t="str">
        <f>IF(VLOOKUP($A16,Tabelle1!$A$4:$BU$73,17,0)&lt;&gt;"",P$1,"")</f>
        <v/>
      </c>
      <c r="Q16" t="str">
        <f>IF(VLOOKUP($A16,Tabelle1!$A$4:$BU$73,18,0)&lt;&gt;"",Q$1,"")</f>
        <v/>
      </c>
      <c r="R16" t="str">
        <f>IF(VLOOKUP($A16,Tabelle1!$A$4:$BU$73,19,0)&lt;&gt;"",R$1,"")</f>
        <v/>
      </c>
      <c r="S16" t="str">
        <f>IF(VLOOKUP($A16,Tabelle1!$A$4:$BU$73,20,0)&lt;&gt;"",S$1,"")</f>
        <v/>
      </c>
      <c r="T16" t="str">
        <f>IF(VLOOKUP($A16,Tabelle1!$A$4:$BU$73,21,0)&lt;&gt;"",T$1,"")</f>
        <v/>
      </c>
      <c r="U16" t="str">
        <f>IF(VLOOKUP($A16,Tabelle1!$A$4:$BU$73,22,0)&lt;&gt;"",U$1,"")</f>
        <v/>
      </c>
      <c r="V16" t="str">
        <f>IF(VLOOKUP($A16,Tabelle1!$A$4:$BU$73,23,0)&lt;&gt;"",V$1,"")</f>
        <v/>
      </c>
      <c r="W16" t="str">
        <f>IF(VLOOKUP($A16,Tabelle1!$A$4:$BU$73,24,0)&lt;&gt;"",W$1,"")</f>
        <v/>
      </c>
      <c r="X16" t="str">
        <f>IF(VLOOKUP($A16,Tabelle1!$A$4:$BU$73,25,0)&lt;&gt;"",X$1,"")</f>
        <v/>
      </c>
      <c r="Y16" t="str">
        <f>IF(VLOOKUP($A16,Tabelle1!$A$4:$BU$73,26,0)&lt;&gt;"",Y$1,"")</f>
        <v>Leindotter</v>
      </c>
      <c r="Z16" t="str">
        <f>IF(VLOOKUP($A16,Tabelle1!$A$4:$BU$73,27,0)&lt;&gt;"",Z$1,"")</f>
        <v/>
      </c>
      <c r="AA16" t="str">
        <f>IF(VLOOKUP($A16,Tabelle1!$A$4:$BU$73,28,0)&lt;&gt;"",AA$1,"")</f>
        <v/>
      </c>
      <c r="AB16" t="str">
        <f>IF(VLOOKUP($A16,Tabelle1!$A$4:$BU$73,29,0)&lt;&gt;"",AB$1,"")</f>
        <v/>
      </c>
      <c r="AC16" t="str">
        <f>IF(VLOOKUP($A16,Tabelle1!$A$4:$BU$73,30,0)&lt;&gt;"",AC$1,"")</f>
        <v>Schwarzsamen/Ramtilkraut/Gingellikraut/Mungo</v>
      </c>
      <c r="AD16" t="str">
        <f>IF(VLOOKUP($A16,Tabelle1!$A$4:$BU$73,31,0)&lt;&gt;"",AD$1,"")</f>
        <v>Öllein</v>
      </c>
      <c r="AE16" t="str">
        <f>IF(VLOOKUP($A16,Tabelle1!$A$4:$BU$73,32,0)&lt;&gt;"",AE$1,"")</f>
        <v/>
      </c>
      <c r="AF16" t="str">
        <f>IF(VLOOKUP($A16,Tabelle1!$A$4:$BU$73,33,0)&lt;&gt;"",AF$1,"")</f>
        <v/>
      </c>
      <c r="AG16" t="str">
        <f>IF(VLOOKUP($A16,Tabelle1!$A$4:$BU$73,34,0)&lt;&gt;"",AG$1,"")</f>
        <v>Persischer Klee</v>
      </c>
      <c r="AH16" t="str">
        <f>IF(VLOOKUP($A16,Tabelle1!$A$4:$BU$73,35,0)&lt;&gt;"",AH$1,"")</f>
        <v>Phazelie</v>
      </c>
      <c r="AI16" t="str">
        <f>IF(VLOOKUP($A16,Tabelle1!$A$4:$BU$73,36,0)&lt;&gt;"",AI$1,"")</f>
        <v/>
      </c>
      <c r="AJ16" t="str">
        <f>IF(VLOOKUP($A16,Tabelle1!$A$4:$BU$73,37,0)&lt;&gt;"",AJ$1,"")</f>
        <v/>
      </c>
      <c r="AK16" t="str">
        <f>IF(VLOOKUP($A16,Tabelle1!$A$4:$BU$73,38,0)&lt;&gt;"",AK$1,"")</f>
        <v/>
      </c>
      <c r="AL16" t="str">
        <f>IF(VLOOKUP($A16,Tabelle1!$A$4:$BU$73,39,0)&lt;&gt;"",AL$1,"")</f>
        <v/>
      </c>
      <c r="AM16" t="str">
        <f>IF(VLOOKUP($A16,Tabelle1!$A$4:$BU$73,40,0)&lt;&gt;"",AM$1,"")</f>
        <v/>
      </c>
      <c r="AN16" t="str">
        <f>IF(VLOOKUP($A16,Tabelle1!$A$4:$BU$73,41,0)&lt;&gt;"",AN$1,"")</f>
        <v/>
      </c>
      <c r="AO16" t="str">
        <f>IF(VLOOKUP($A16,Tabelle1!$A$4:$BU$73,42,0)&lt;&gt;"",AO$1,"")</f>
        <v/>
      </c>
      <c r="AP16" t="str">
        <f>IF(VLOOKUP($A16,Tabelle1!$A$4:$BU$73,43,0)&lt;&gt;"",AP$1,"")</f>
        <v/>
      </c>
      <c r="AQ16" t="str">
        <f>IF(VLOOKUP($A16,Tabelle1!$A$4:$BU$73,44,0)&lt;&gt;"",AQ$1,"")</f>
        <v/>
      </c>
      <c r="AR16" t="str">
        <f>IF(VLOOKUP($A16,Tabelle1!$A$4:$BU$73,45,0)&lt;&gt;"",AR$1,"")</f>
        <v/>
      </c>
      <c r="AS16" t="str">
        <f>IF(VLOOKUP($A16,Tabelle1!$A$4:$BU$73,46,0)&lt;&gt;"",AS$1,"")</f>
        <v/>
      </c>
      <c r="AT16" t="str">
        <f>IF(VLOOKUP($A16,Tabelle1!$A$4:$BU$73,47,0)&lt;&gt;"",AT$1,"")</f>
        <v/>
      </c>
      <c r="AU16" t="str">
        <f>IF(VLOOKUP($A16,Tabelle1!$A$4:$BU$73,48,0)&lt;&gt;"",AU$1,"")</f>
        <v/>
      </c>
      <c r="AV16" t="str">
        <f>IF(VLOOKUP($A16,Tabelle1!$A$4:$BU$73,49,0)&lt;&gt;"",AV$1,"")</f>
        <v/>
      </c>
      <c r="AW16" t="str">
        <f>IF(VLOOKUP($A16,Tabelle1!$A$4:$BU$73,50,0)&lt;&gt;"",AW$1,"")</f>
        <v/>
      </c>
      <c r="AX16" t="str">
        <f>IF(VLOOKUP($A16,Tabelle1!$A$4:$BU$73,51,0)&lt;&gt;"",AX$1,"")</f>
        <v>Sudangras</v>
      </c>
      <c r="AY16" t="str">
        <f>IF(VLOOKUP($A16,Tabelle1!$A$4:$BU$73,52,0)&lt;&gt;"",AY$1,"")</f>
        <v/>
      </c>
      <c r="AZ16" t="str">
        <f>IF(VLOOKUP($A16,Tabelle1!$A$4:$BU$73,53,0)&lt;&gt;"",AZ$1,"")</f>
        <v/>
      </c>
      <c r="BA16" t="str">
        <f>IF(VLOOKUP($A16,Tabelle1!$A$4:$BU$73,54,0)&lt;&gt;"",BA$1,"")</f>
        <v/>
      </c>
      <c r="BB16" t="str">
        <f>IF(VLOOKUP($A16,Tabelle1!$A$4:$BU$73,55,0)&lt;&gt;"",BB$1,"")</f>
        <v/>
      </c>
      <c r="BC16" t="str">
        <f>IF(VLOOKUP($A16,Tabelle1!$A$4:$BU$73,56,0)&lt;&gt;"",BC$1,"")</f>
        <v/>
      </c>
      <c r="BD16" t="str">
        <f>IF(VLOOKUP($A16,Tabelle1!$A$4:$BU$73,57,0)&lt;&gt;"",BD$1,"")</f>
        <v/>
      </c>
      <c r="BE16" t="str">
        <f>IF(VLOOKUP($A16,Tabelle1!$A$4:$BU$73,58,0)&lt;&gt;"",BE$1,"")</f>
        <v/>
      </c>
      <c r="BF16" t="str">
        <f>IF(VLOOKUP($A16,Tabelle1!$A$4:$BU$73,59,0)&lt;&gt;"",BF$1,"")</f>
        <v/>
      </c>
      <c r="BG16" t="str">
        <f>IF(VLOOKUP($A16,Tabelle1!$A$4:$BU$73,60,0)&lt;&gt;"",BG$1,"")</f>
        <v/>
      </c>
      <c r="BH16" t="str">
        <f>IF(VLOOKUP($A16,Tabelle1!$A$4:$BU$73,61,0)&lt;&gt;"",BH$1,"")</f>
        <v/>
      </c>
      <c r="BI16" t="str">
        <f>IF(VLOOKUP($A16,Tabelle1!$A$4:$BU$73,62,0)&lt;&gt;"",BI$1,"")</f>
        <v/>
      </c>
      <c r="BJ16" t="str">
        <f>IF(VLOOKUP($A16,Tabelle1!$A$4:$BU$73,63,0)&lt;&gt;"",BJ$1,"")</f>
        <v/>
      </c>
      <c r="BK16" t="str">
        <f>IF(VLOOKUP($A16,Tabelle1!$A$4:$BU$73,64,0)&lt;&gt;"",BK$1,"")</f>
        <v/>
      </c>
      <c r="BL16" t="str">
        <f>IF(VLOOKUP($A16,Tabelle1!$A$4:$BU$73,65,0)&lt;&gt;"",BL$1,"")</f>
        <v/>
      </c>
      <c r="BM16" t="str">
        <f>IF(VLOOKUP($A16,Tabelle1!$A$4:$BU$73,66,0)&lt;&gt;"",BM$1,"")</f>
        <v/>
      </c>
      <c r="BN16" t="str">
        <f>IF(VLOOKUP($A16,Tabelle1!$A$4:$BU$73,67,0)&lt;&gt;"",BN$1,"")</f>
        <v/>
      </c>
      <c r="BO16" t="str">
        <f>IF(VLOOKUP($A16,Tabelle1!$A$4:$BU$73,68,0)&lt;&gt;"",BO$1,"")</f>
        <v/>
      </c>
      <c r="BP16" t="str">
        <f>IF(VLOOKUP($A16,Tabelle1!$A$4:$BU$73,69,0)&lt;&gt;"",BP$1,"")</f>
        <v/>
      </c>
      <c r="BQ16" t="str">
        <f>IF(VLOOKUP($A16,Tabelle1!$A$4:$BU$73,70,0)&lt;&gt;"",BQ$1,"")</f>
        <v/>
      </c>
      <c r="BR16" t="str">
        <f>IF(VLOOKUP($A16,Tabelle1!$A$4:$BU$73,71,0)&lt;&gt;"",BR$1,"")</f>
        <v/>
      </c>
      <c r="BS16" t="str">
        <f>IF(VLOOKUP($A16,Tabelle1!$A$4:$BU$73,72,0)&lt;&gt;"",BS$1,"")</f>
        <v/>
      </c>
      <c r="BT16" t="str">
        <f>IF(VLOOKUP($A16,Tabelle1!$A$4:$BU$73,73,0)&lt;&gt;"",BT$1,"")</f>
        <v/>
      </c>
    </row>
    <row r="17" spans="1:72" x14ac:dyDescent="0.2">
      <c r="A17" t="s">
        <v>428</v>
      </c>
      <c r="B17">
        <v>12</v>
      </c>
      <c r="C17">
        <v>5.42</v>
      </c>
      <c r="D17" t="str">
        <f>IF(VLOOKUP($A17,Tabelle1!$A$4:$BU$73,5,0)&lt;&gt;"",D$1,"")</f>
        <v/>
      </c>
      <c r="E17" t="str">
        <f>IF(VLOOKUP($A17,Tabelle1!$A$4:$BU$73,6,0)&lt;&gt;"",E$1,"")</f>
        <v/>
      </c>
      <c r="F17" t="str">
        <f>IF(VLOOKUP($A17,Tabelle1!$A$4:$BU$73,7,0)&lt;&gt;"",F$1,"")</f>
        <v>Alexandrinerklee</v>
      </c>
      <c r="G17" t="str">
        <f>IF(VLOOKUP($A17,Tabelle1!$A$4:$BU$73,8,0)&lt;&gt;"",G$1,"")</f>
        <v/>
      </c>
      <c r="H17" t="str">
        <f>IF(VLOOKUP($A17,Tabelle1!$A$4:$BU$73,9,0)&lt;&gt;"",H$1,"")</f>
        <v/>
      </c>
      <c r="I17" t="str">
        <f>IF(VLOOKUP($A17,Tabelle1!$A$4:$BU$73,10,0)&lt;&gt;"",I$1,"")</f>
        <v/>
      </c>
      <c r="J17" t="str">
        <f>IF(VLOOKUP($A17,Tabelle1!$A$4:$BU$73,11,0)&lt;&gt;"",J$1,"")</f>
        <v/>
      </c>
      <c r="K17" t="str">
        <f>IF(VLOOKUP($A17,Tabelle1!$A$4:$BU$73,12,0)&lt;&gt;"",K$1,"")</f>
        <v/>
      </c>
      <c r="L17" t="str">
        <f>IF(VLOOKUP($A17,Tabelle1!$A$4:$BU$73,13,0)&lt;&gt;"",L$1,"")</f>
        <v/>
      </c>
      <c r="M17" t="str">
        <f>IF(VLOOKUP($A17,Tabelle1!$A$4:$BU$73,14,0)&lt;&gt;"",M$1,"")</f>
        <v/>
      </c>
      <c r="N17" t="str">
        <f>IF(VLOOKUP($A17,Tabelle1!$A$4:$BU$73,15,0)&lt;&gt;"",N$1,"")</f>
        <v/>
      </c>
      <c r="O17" t="str">
        <f>IF(VLOOKUP($A17,Tabelle1!$A$4:$BU$73,16,0)&lt;&gt;"",O$1,"")</f>
        <v/>
      </c>
      <c r="P17" t="str">
        <f>IF(VLOOKUP($A17,Tabelle1!$A$4:$BU$73,17,0)&lt;&gt;"",P$1,"")</f>
        <v/>
      </c>
      <c r="Q17" t="str">
        <f>IF(VLOOKUP($A17,Tabelle1!$A$4:$BU$73,18,0)&lt;&gt;"",Q$1,"")</f>
        <v/>
      </c>
      <c r="R17" t="str">
        <f>IF(VLOOKUP($A17,Tabelle1!$A$4:$BU$73,19,0)&lt;&gt;"",R$1,"")</f>
        <v/>
      </c>
      <c r="S17" t="str">
        <f>IF(VLOOKUP($A17,Tabelle1!$A$4:$BU$73,20,0)&lt;&gt;"",S$1,"")</f>
        <v/>
      </c>
      <c r="T17" t="str">
        <f>IF(VLOOKUP($A17,Tabelle1!$A$4:$BU$73,21,0)&lt;&gt;"",T$1,"")</f>
        <v/>
      </c>
      <c r="U17" t="str">
        <f>IF(VLOOKUP($A17,Tabelle1!$A$4:$BU$73,22,0)&lt;&gt;"",U$1,"")</f>
        <v/>
      </c>
      <c r="V17" t="str">
        <f>IF(VLOOKUP($A17,Tabelle1!$A$4:$BU$73,23,0)&lt;&gt;"",V$1,"")</f>
        <v/>
      </c>
      <c r="W17" t="str">
        <f>IF(VLOOKUP($A17,Tabelle1!$A$4:$BU$73,24,0)&lt;&gt;"",W$1,"")</f>
        <v/>
      </c>
      <c r="X17" t="str">
        <f>IF(VLOOKUP($A17,Tabelle1!$A$4:$BU$73,25,0)&lt;&gt;"",X$1,"")</f>
        <v/>
      </c>
      <c r="Y17" t="str">
        <f>IF(VLOOKUP($A17,Tabelle1!$A$4:$BU$73,26,0)&lt;&gt;"",Y$1,"")</f>
        <v/>
      </c>
      <c r="Z17" t="str">
        <f>IF(VLOOKUP($A17,Tabelle1!$A$4:$BU$73,27,0)&lt;&gt;"",Z$1,"")</f>
        <v/>
      </c>
      <c r="AA17" t="str">
        <f>IF(VLOOKUP($A17,Tabelle1!$A$4:$BU$73,28,0)&lt;&gt;"",AA$1,"")</f>
        <v/>
      </c>
      <c r="AB17" t="str">
        <f>IF(VLOOKUP($A17,Tabelle1!$A$4:$BU$73,29,0)&lt;&gt;"",AB$1,"")</f>
        <v/>
      </c>
      <c r="AC17" t="str">
        <f>IF(VLOOKUP($A17,Tabelle1!$A$4:$BU$73,30,0)&lt;&gt;"",AC$1,"")</f>
        <v>Schwarzsamen/Ramtilkraut/Gingellikraut/Mungo</v>
      </c>
      <c r="AD17" t="str">
        <f>IF(VLOOKUP($A17,Tabelle1!$A$4:$BU$73,31,0)&lt;&gt;"",AD$1,"")</f>
        <v/>
      </c>
      <c r="AE17" t="str">
        <f>IF(VLOOKUP($A17,Tabelle1!$A$4:$BU$73,32,0)&lt;&gt;"",AE$1,"")</f>
        <v/>
      </c>
      <c r="AF17" t="str">
        <f>IF(VLOOKUP($A17,Tabelle1!$A$4:$BU$73,33,0)&lt;&gt;"",AF$1,"")</f>
        <v/>
      </c>
      <c r="AG17" t="str">
        <f>IF(VLOOKUP($A17,Tabelle1!$A$4:$BU$73,34,0)&lt;&gt;"",AG$1,"")</f>
        <v/>
      </c>
      <c r="AH17" t="str">
        <f>IF(VLOOKUP($A17,Tabelle1!$A$4:$BU$73,35,0)&lt;&gt;"",AH$1,"")</f>
        <v>Phazelie</v>
      </c>
      <c r="AI17" t="str">
        <f>IF(VLOOKUP($A17,Tabelle1!$A$4:$BU$73,36,0)&lt;&gt;"",AI$1,"")</f>
        <v/>
      </c>
      <c r="AJ17" t="str">
        <f>IF(VLOOKUP($A17,Tabelle1!$A$4:$BU$73,37,0)&lt;&gt;"",AJ$1,"")</f>
        <v/>
      </c>
      <c r="AK17" t="str">
        <f>IF(VLOOKUP($A17,Tabelle1!$A$4:$BU$73,38,0)&lt;&gt;"",AK$1,"")</f>
        <v/>
      </c>
      <c r="AL17" t="str">
        <f>IF(VLOOKUP($A17,Tabelle1!$A$4:$BU$73,39,0)&lt;&gt;"",AL$1,"")</f>
        <v/>
      </c>
      <c r="AM17" t="str">
        <f>IF(VLOOKUP($A17,Tabelle1!$A$4:$BU$73,40,0)&lt;&gt;"",AM$1,"")</f>
        <v/>
      </c>
      <c r="AN17" t="str">
        <f>IF(VLOOKUP($A17,Tabelle1!$A$4:$BU$73,41,0)&lt;&gt;"",AN$1,"")</f>
        <v/>
      </c>
      <c r="AO17" t="str">
        <f>IF(VLOOKUP($A17,Tabelle1!$A$4:$BU$73,42,0)&lt;&gt;"",AO$1,"")</f>
        <v/>
      </c>
      <c r="AP17" t="str">
        <f>IF(VLOOKUP($A17,Tabelle1!$A$4:$BU$73,43,0)&lt;&gt;"",AP$1,"")</f>
        <v/>
      </c>
      <c r="AQ17" t="str">
        <f>IF(VLOOKUP($A17,Tabelle1!$A$4:$BU$73,44,0)&lt;&gt;"",AQ$1,"")</f>
        <v/>
      </c>
      <c r="AR17" t="str">
        <f>IF(VLOOKUP($A17,Tabelle1!$A$4:$BU$73,45,0)&lt;&gt;"",AR$1,"")</f>
        <v/>
      </c>
      <c r="AS17" t="str">
        <f>IF(VLOOKUP($A17,Tabelle1!$A$4:$BU$73,46,0)&lt;&gt;"",AS$1,"")</f>
        <v/>
      </c>
      <c r="AT17" t="str">
        <f>IF(VLOOKUP($A17,Tabelle1!$A$4:$BU$73,47,0)&lt;&gt;"",AT$1,"")</f>
        <v/>
      </c>
      <c r="AU17" t="str">
        <f>IF(VLOOKUP($A17,Tabelle1!$A$4:$BU$73,48,0)&lt;&gt;"",AU$1,"")</f>
        <v/>
      </c>
      <c r="AV17" t="str">
        <f>IF(VLOOKUP($A17,Tabelle1!$A$4:$BU$73,49,0)&lt;&gt;"",AV$1,"")</f>
        <v/>
      </c>
      <c r="AW17" t="str">
        <f>IF(VLOOKUP($A17,Tabelle1!$A$4:$BU$73,50,0)&lt;&gt;"",AW$1,"")</f>
        <v/>
      </c>
      <c r="AX17" t="str">
        <f>IF(VLOOKUP($A17,Tabelle1!$A$4:$BU$73,51,0)&lt;&gt;"",AX$1,"")</f>
        <v/>
      </c>
      <c r="AY17" t="str">
        <f>IF(VLOOKUP($A17,Tabelle1!$A$4:$BU$73,52,0)&lt;&gt;"",AY$1,"")</f>
        <v/>
      </c>
      <c r="AZ17" t="str">
        <f>IF(VLOOKUP($A17,Tabelle1!$A$4:$BU$73,53,0)&lt;&gt;"",AZ$1,"")</f>
        <v/>
      </c>
      <c r="BA17" t="str">
        <f>IF(VLOOKUP($A17,Tabelle1!$A$4:$BU$73,54,0)&lt;&gt;"",BA$1,"")</f>
        <v/>
      </c>
      <c r="BB17" t="str">
        <f>IF(VLOOKUP($A17,Tabelle1!$A$4:$BU$73,55,0)&lt;&gt;"",BB$1,"")</f>
        <v/>
      </c>
      <c r="BC17" t="str">
        <f>IF(VLOOKUP($A17,Tabelle1!$A$4:$BU$73,56,0)&lt;&gt;"",BC$1,"")</f>
        <v/>
      </c>
      <c r="BD17" t="str">
        <f>IF(VLOOKUP($A17,Tabelle1!$A$4:$BU$73,57,0)&lt;&gt;"",BD$1,"")</f>
        <v/>
      </c>
      <c r="BE17" t="str">
        <f>IF(VLOOKUP($A17,Tabelle1!$A$4:$BU$73,58,0)&lt;&gt;"",BE$1,"")</f>
        <v/>
      </c>
      <c r="BF17" t="str">
        <f>IF(VLOOKUP($A17,Tabelle1!$A$4:$BU$73,59,0)&lt;&gt;"",BF$1,"")</f>
        <v/>
      </c>
      <c r="BG17" t="str">
        <f>IF(VLOOKUP($A17,Tabelle1!$A$4:$BU$73,60,0)&lt;&gt;"",BG$1,"")</f>
        <v/>
      </c>
      <c r="BH17" t="str">
        <f>IF(VLOOKUP($A17,Tabelle1!$A$4:$BU$73,61,0)&lt;&gt;"",BH$1,"")</f>
        <v/>
      </c>
      <c r="BI17" t="str">
        <f>IF(VLOOKUP($A17,Tabelle1!$A$4:$BU$73,62,0)&lt;&gt;"",BI$1,"")</f>
        <v/>
      </c>
      <c r="BJ17" t="str">
        <f>IF(VLOOKUP($A17,Tabelle1!$A$4:$BU$73,63,0)&lt;&gt;"",BJ$1,"")</f>
        <v/>
      </c>
      <c r="BK17" t="str">
        <f>IF(VLOOKUP($A17,Tabelle1!$A$4:$BU$73,64,0)&lt;&gt;"",BK$1,"")</f>
        <v/>
      </c>
      <c r="BL17" t="str">
        <f>IF(VLOOKUP($A17,Tabelle1!$A$4:$BU$73,65,0)&lt;&gt;"",BL$1,"")</f>
        <v/>
      </c>
      <c r="BM17" t="str">
        <f>IF(VLOOKUP($A17,Tabelle1!$A$4:$BU$73,66,0)&lt;&gt;"",BM$1,"")</f>
        <v/>
      </c>
      <c r="BN17" t="str">
        <f>IF(VLOOKUP($A17,Tabelle1!$A$4:$BU$73,67,0)&lt;&gt;"",BN$1,"")</f>
        <v/>
      </c>
      <c r="BO17" t="str">
        <f>IF(VLOOKUP($A17,Tabelle1!$A$4:$BU$73,68,0)&lt;&gt;"",BO$1,"")</f>
        <v/>
      </c>
      <c r="BP17" t="str">
        <f>IF(VLOOKUP($A17,Tabelle1!$A$4:$BU$73,69,0)&lt;&gt;"",BP$1,"")</f>
        <v/>
      </c>
      <c r="BQ17" t="str">
        <f>IF(VLOOKUP($A17,Tabelle1!$A$4:$BU$73,70,0)&lt;&gt;"",BQ$1,"")</f>
        <v/>
      </c>
      <c r="BR17" t="str">
        <f>IF(VLOOKUP($A17,Tabelle1!$A$4:$BU$73,71,0)&lt;&gt;"",BR$1,"")</f>
        <v/>
      </c>
      <c r="BS17" t="str">
        <f>IF(VLOOKUP($A17,Tabelle1!$A$4:$BU$73,72,0)&lt;&gt;"",BS$1,"")</f>
        <v/>
      </c>
      <c r="BT17" t="str">
        <f>IF(VLOOKUP($A17,Tabelle1!$A$4:$BU$73,73,0)&lt;&gt;"",BT$1,"")</f>
        <v/>
      </c>
    </row>
    <row r="18" spans="1:72" x14ac:dyDescent="0.2">
      <c r="A18" t="s">
        <v>934</v>
      </c>
      <c r="B18">
        <v>25</v>
      </c>
      <c r="C18">
        <v>4.43</v>
      </c>
      <c r="D18" t="str">
        <f>IF(VLOOKUP($A18,Tabelle1!$A$4:$BU$73,5,0)&lt;&gt;"",D$1,"")</f>
        <v/>
      </c>
      <c r="E18" t="str">
        <f>IF(VLOOKUP($A18,Tabelle1!$A$4:$BU$73,6,0)&lt;&gt;"",E$1,"")</f>
        <v/>
      </c>
      <c r="F18" t="str">
        <f>IF(VLOOKUP($A18,Tabelle1!$A$4:$BU$73,7,0)&lt;&gt;"",F$1,"")</f>
        <v>Alexandrinerklee</v>
      </c>
      <c r="G18" t="str">
        <f>IF(VLOOKUP($A18,Tabelle1!$A$4:$BU$73,8,0)&lt;&gt;"",G$1,"")</f>
        <v/>
      </c>
      <c r="H18" t="str">
        <f>IF(VLOOKUP($A18,Tabelle1!$A$4:$BU$73,9,0)&lt;&gt;"",H$1,"")</f>
        <v/>
      </c>
      <c r="I18" t="str">
        <f>IF(VLOOKUP($A18,Tabelle1!$A$4:$BU$73,10,0)&lt;&gt;"",I$1,"")</f>
        <v xml:space="preserve">Buchweizen </v>
      </c>
      <c r="J18" t="str">
        <f>IF(VLOOKUP($A18,Tabelle1!$A$4:$BU$73,11,0)&lt;&gt;"",J$1,"")</f>
        <v/>
      </c>
      <c r="K18" t="str">
        <f>IF(VLOOKUP($A18,Tabelle1!$A$4:$BU$73,12,0)&lt;&gt;"",K$1,"")</f>
        <v/>
      </c>
      <c r="L18" t="str">
        <f>IF(VLOOKUP($A18,Tabelle1!$A$4:$BU$73,13,0)&lt;&gt;"",L$1,"")</f>
        <v/>
      </c>
      <c r="M18" t="str">
        <f>IF(VLOOKUP($A18,Tabelle1!$A$4:$BU$73,14,0)&lt;&gt;"",M$1,"")</f>
        <v/>
      </c>
      <c r="N18" t="str">
        <f>IF(VLOOKUP($A18,Tabelle1!$A$4:$BU$73,15,0)&lt;&gt;"",N$1,"")</f>
        <v/>
      </c>
      <c r="O18" t="str">
        <f>IF(VLOOKUP($A18,Tabelle1!$A$4:$BU$73,16,0)&lt;&gt;"",O$1,"")</f>
        <v/>
      </c>
      <c r="P18" t="str">
        <f>IF(VLOOKUP($A18,Tabelle1!$A$4:$BU$73,17,0)&lt;&gt;"",P$1,"")</f>
        <v/>
      </c>
      <c r="Q18" t="str">
        <f>IF(VLOOKUP($A18,Tabelle1!$A$4:$BU$73,18,0)&lt;&gt;"",Q$1,"")</f>
        <v/>
      </c>
      <c r="R18" t="str">
        <f>IF(VLOOKUP($A18,Tabelle1!$A$4:$BU$73,19,0)&lt;&gt;"",R$1,"")</f>
        <v/>
      </c>
      <c r="S18" t="str">
        <f>IF(VLOOKUP($A18,Tabelle1!$A$4:$BU$73,20,0)&lt;&gt;"",S$1,"")</f>
        <v/>
      </c>
      <c r="T18" t="str">
        <f>IF(VLOOKUP($A18,Tabelle1!$A$4:$BU$73,21,0)&lt;&gt;"",T$1,"")</f>
        <v/>
      </c>
      <c r="U18" t="str">
        <f>IF(VLOOKUP($A18,Tabelle1!$A$4:$BU$73,22,0)&lt;&gt;"",U$1,"")</f>
        <v/>
      </c>
      <c r="V18" t="str">
        <f>IF(VLOOKUP($A18,Tabelle1!$A$4:$BU$73,23,0)&lt;&gt;"",V$1,"")</f>
        <v/>
      </c>
      <c r="W18" t="str">
        <f>IF(VLOOKUP($A18,Tabelle1!$A$4:$BU$73,24,0)&lt;&gt;"",W$1,"")</f>
        <v/>
      </c>
      <c r="X18" t="str">
        <f>IF(VLOOKUP($A18,Tabelle1!$A$4:$BU$73,25,0)&lt;&gt;"",X$1,"")</f>
        <v/>
      </c>
      <c r="Y18" t="str">
        <f>IF(VLOOKUP($A18,Tabelle1!$A$4:$BU$73,26,0)&lt;&gt;"",Y$1,"")</f>
        <v/>
      </c>
      <c r="Z18" t="str">
        <f>IF(VLOOKUP($A18,Tabelle1!$A$4:$BU$73,27,0)&lt;&gt;"",Z$1,"")</f>
        <v/>
      </c>
      <c r="AA18" t="str">
        <f>IF(VLOOKUP($A18,Tabelle1!$A$4:$BU$73,28,0)&lt;&gt;"",AA$1,"")</f>
        <v/>
      </c>
      <c r="AB18" t="str">
        <f>IF(VLOOKUP($A18,Tabelle1!$A$4:$BU$73,29,0)&lt;&gt;"",AB$1,"")</f>
        <v/>
      </c>
      <c r="AC18" t="str">
        <f>IF(VLOOKUP($A18,Tabelle1!$A$4:$BU$73,30,0)&lt;&gt;"",AC$1,"")</f>
        <v/>
      </c>
      <c r="AD18" t="str">
        <f>IF(VLOOKUP($A18,Tabelle1!$A$4:$BU$73,31,0)&lt;&gt;"",AD$1,"")</f>
        <v/>
      </c>
      <c r="AE18" t="str">
        <f>IF(VLOOKUP($A18,Tabelle1!$A$4:$BU$73,32,0)&lt;&gt;"",AE$1,"")</f>
        <v/>
      </c>
      <c r="AF18" t="str">
        <f>IF(VLOOKUP($A18,Tabelle1!$A$4:$BU$73,33,0)&lt;&gt;"",AF$1,"")</f>
        <v/>
      </c>
      <c r="AG18" t="str">
        <f>IF(VLOOKUP($A18,Tabelle1!$A$4:$BU$73,34,0)&lt;&gt;"",AG$1,"")</f>
        <v/>
      </c>
      <c r="AH18" t="str">
        <f>IF(VLOOKUP($A18,Tabelle1!$A$4:$BU$73,35,0)&lt;&gt;"",AH$1,"")</f>
        <v>Phazelie</v>
      </c>
      <c r="AI18" t="str">
        <f>IF(VLOOKUP($A18,Tabelle1!$A$4:$BU$73,36,0)&lt;&gt;"",AI$1,"")</f>
        <v/>
      </c>
      <c r="AJ18" t="str">
        <f>IF(VLOOKUP($A18,Tabelle1!$A$4:$BU$73,37,0)&lt;&gt;"",AJ$1,"")</f>
        <v/>
      </c>
      <c r="AK18" t="str">
        <f>IF(VLOOKUP($A18,Tabelle1!$A$4:$BU$73,38,0)&lt;&gt;"",AK$1,"")</f>
        <v/>
      </c>
      <c r="AL18" t="str">
        <f>IF(VLOOKUP($A18,Tabelle1!$A$4:$BU$73,39,0)&lt;&gt;"",AL$1,"")</f>
        <v/>
      </c>
      <c r="AM18" t="str">
        <f>IF(VLOOKUP($A18,Tabelle1!$A$4:$BU$73,40,0)&lt;&gt;"",AM$1,"")</f>
        <v/>
      </c>
      <c r="AN18" t="str">
        <f>IF(VLOOKUP($A18,Tabelle1!$A$4:$BU$73,41,0)&lt;&gt;"",AN$1,"")</f>
        <v/>
      </c>
      <c r="AO18" t="str">
        <f>IF(VLOOKUP($A18,Tabelle1!$A$4:$BU$73,42,0)&lt;&gt;"",AO$1,"")</f>
        <v/>
      </c>
      <c r="AP18" t="str">
        <f>IF(VLOOKUP($A18,Tabelle1!$A$4:$BU$73,43,0)&lt;&gt;"",AP$1,"")</f>
        <v/>
      </c>
      <c r="AQ18" t="str">
        <f>IF(VLOOKUP($A18,Tabelle1!$A$4:$BU$73,44,0)&lt;&gt;"",AQ$1,"")</f>
        <v/>
      </c>
      <c r="AR18" t="str">
        <f>IF(VLOOKUP($A18,Tabelle1!$A$4:$BU$73,45,0)&lt;&gt;"",AR$1,"")</f>
        <v/>
      </c>
      <c r="AS18" t="str">
        <f>IF(VLOOKUP($A18,Tabelle1!$A$4:$BU$73,46,0)&lt;&gt;"",AS$1,"")</f>
        <v/>
      </c>
      <c r="AT18" t="str">
        <f>IF(VLOOKUP($A18,Tabelle1!$A$4:$BU$73,47,0)&lt;&gt;"",AT$1,"")</f>
        <v/>
      </c>
      <c r="AU18" t="str">
        <f>IF(VLOOKUP($A18,Tabelle1!$A$4:$BU$73,48,0)&lt;&gt;"",AU$1,"")</f>
        <v/>
      </c>
      <c r="AV18" t="str">
        <f>IF(VLOOKUP($A18,Tabelle1!$A$4:$BU$73,49,0)&lt;&gt;"",AV$1,"")</f>
        <v/>
      </c>
      <c r="AW18" t="str">
        <f>IF(VLOOKUP($A18,Tabelle1!$A$4:$BU$73,50,0)&lt;&gt;"",AW$1,"")</f>
        <v/>
      </c>
      <c r="AX18" t="str">
        <f>IF(VLOOKUP($A18,Tabelle1!$A$4:$BU$73,51,0)&lt;&gt;"",AX$1,"")</f>
        <v/>
      </c>
      <c r="AY18" t="str">
        <f>IF(VLOOKUP($A18,Tabelle1!$A$4:$BU$73,52,0)&lt;&gt;"",AY$1,"")</f>
        <v/>
      </c>
      <c r="AZ18" t="str">
        <f>IF(VLOOKUP($A18,Tabelle1!$A$4:$BU$73,53,0)&lt;&gt;"",AZ$1,"")</f>
        <v/>
      </c>
      <c r="BA18" t="str">
        <f>IF(VLOOKUP($A18,Tabelle1!$A$4:$BU$73,54,0)&lt;&gt;"",BA$1,"")</f>
        <v/>
      </c>
      <c r="BB18" t="str">
        <f>IF(VLOOKUP($A18,Tabelle1!$A$4:$BU$73,55,0)&lt;&gt;"",BB$1,"")</f>
        <v/>
      </c>
      <c r="BC18" t="str">
        <f>IF(VLOOKUP($A18,Tabelle1!$A$4:$BU$73,56,0)&lt;&gt;"",BC$1,"")</f>
        <v/>
      </c>
      <c r="BD18" t="str">
        <f>IF(VLOOKUP($A18,Tabelle1!$A$4:$BU$73,57,0)&lt;&gt;"",BD$1,"")</f>
        <v/>
      </c>
      <c r="BE18" t="str">
        <f>IF(VLOOKUP($A18,Tabelle1!$A$4:$BU$73,58,0)&lt;&gt;"",BE$1,"")</f>
        <v/>
      </c>
      <c r="BF18" t="str">
        <f>IF(VLOOKUP($A18,Tabelle1!$A$4:$BU$73,59,0)&lt;&gt;"",BF$1,"")</f>
        <v/>
      </c>
      <c r="BG18" t="str">
        <f>IF(VLOOKUP($A18,Tabelle1!$A$4:$BU$73,60,0)&lt;&gt;"",BG$1,"")</f>
        <v/>
      </c>
      <c r="BH18" t="str">
        <f>IF(VLOOKUP($A18,Tabelle1!$A$4:$BU$73,61,0)&lt;&gt;"",BH$1,"")</f>
        <v/>
      </c>
      <c r="BI18" t="str">
        <f>IF(VLOOKUP($A18,Tabelle1!$A$4:$BU$73,62,0)&lt;&gt;"",BI$1,"")</f>
        <v/>
      </c>
      <c r="BJ18" t="str">
        <f>IF(VLOOKUP($A18,Tabelle1!$A$4:$BU$73,63,0)&lt;&gt;"",BJ$1,"")</f>
        <v/>
      </c>
      <c r="BK18" t="str">
        <f>IF(VLOOKUP($A18,Tabelle1!$A$4:$BU$73,64,0)&lt;&gt;"",BK$1,"")</f>
        <v/>
      </c>
      <c r="BL18" t="str">
        <f>IF(VLOOKUP($A18,Tabelle1!$A$4:$BU$73,65,0)&lt;&gt;"",BL$1,"")</f>
        <v/>
      </c>
      <c r="BM18" t="str">
        <f>IF(VLOOKUP($A18,Tabelle1!$A$4:$BU$73,66,0)&lt;&gt;"",BM$1,"")</f>
        <v/>
      </c>
      <c r="BN18" t="str">
        <f>IF(VLOOKUP($A18,Tabelle1!$A$4:$BU$73,67,0)&lt;&gt;"",BN$1,"")</f>
        <v/>
      </c>
      <c r="BO18" t="str">
        <f>IF(VLOOKUP($A18,Tabelle1!$A$4:$BU$73,68,0)&lt;&gt;"",BO$1,"")</f>
        <v/>
      </c>
      <c r="BP18" t="str">
        <f>IF(VLOOKUP($A18,Tabelle1!$A$4:$BU$73,69,0)&lt;&gt;"",BP$1,"")</f>
        <v/>
      </c>
      <c r="BQ18" t="str">
        <f>IF(VLOOKUP($A18,Tabelle1!$A$4:$BU$73,70,0)&lt;&gt;"",BQ$1,"")</f>
        <v/>
      </c>
      <c r="BR18" t="str">
        <f>IF(VLOOKUP($A18,Tabelle1!$A$4:$BU$73,71,0)&lt;&gt;"",BR$1,"")</f>
        <v/>
      </c>
      <c r="BS18" t="str">
        <f>IF(VLOOKUP($A18,Tabelle1!$A$4:$BU$73,72,0)&lt;&gt;"",BS$1,"")</f>
        <v/>
      </c>
      <c r="BT18" t="str">
        <f>IF(VLOOKUP($A18,Tabelle1!$A$4:$BU$73,73,0)&lt;&gt;"",BT$1,"")</f>
        <v/>
      </c>
    </row>
    <row r="19" spans="1:72" x14ac:dyDescent="0.2">
      <c r="A19" t="s">
        <v>521</v>
      </c>
      <c r="B19">
        <v>20</v>
      </c>
      <c r="C19">
        <v>4.53</v>
      </c>
      <c r="D19" t="str">
        <f>IF(VLOOKUP($A19,Tabelle1!$A$4:$BU$73,5,0)&lt;&gt;"",D$1,"")</f>
        <v/>
      </c>
      <c r="E19" t="str">
        <f>IF(VLOOKUP($A19,Tabelle1!$A$4:$BU$73,6,0)&lt;&gt;"",E$1,"")</f>
        <v/>
      </c>
      <c r="F19" t="str">
        <f>IF(VLOOKUP($A19,Tabelle1!$A$4:$BU$73,7,0)&lt;&gt;"",F$1,"")</f>
        <v/>
      </c>
      <c r="G19" t="str">
        <f>IF(VLOOKUP($A19,Tabelle1!$A$4:$BU$73,8,0)&lt;&gt;"",G$1,"")</f>
        <v/>
      </c>
      <c r="H19" t="str">
        <f>IF(VLOOKUP($A19,Tabelle1!$A$4:$BU$73,9,0)&lt;&gt;"",H$1,"")</f>
        <v/>
      </c>
      <c r="I19" t="str">
        <f>IF(VLOOKUP($A19,Tabelle1!$A$4:$BU$73,10,0)&lt;&gt;"",I$1,"")</f>
        <v/>
      </c>
      <c r="J19" t="str">
        <f>IF(VLOOKUP($A19,Tabelle1!$A$4:$BU$73,11,0)&lt;&gt;"",J$1,"")</f>
        <v/>
      </c>
      <c r="K19" t="str">
        <f>IF(VLOOKUP($A19,Tabelle1!$A$4:$BU$73,12,0)&lt;&gt;"",K$1,"")</f>
        <v/>
      </c>
      <c r="L19" t="str">
        <f>IF(VLOOKUP($A19,Tabelle1!$A$4:$BU$73,13,0)&lt;&gt;"",L$1,"")</f>
        <v/>
      </c>
      <c r="M19" t="str">
        <f>IF(VLOOKUP($A19,Tabelle1!$A$4:$BU$73,14,0)&lt;&gt;"",M$1,"")</f>
        <v/>
      </c>
      <c r="N19" t="str">
        <f>IF(VLOOKUP($A19,Tabelle1!$A$4:$BU$73,15,0)&lt;&gt;"",N$1,"")</f>
        <v/>
      </c>
      <c r="O19" t="str">
        <f>IF(VLOOKUP($A19,Tabelle1!$A$4:$BU$73,16,0)&lt;&gt;"",O$1,"")</f>
        <v/>
      </c>
      <c r="P19" t="str">
        <f>IF(VLOOKUP($A19,Tabelle1!$A$4:$BU$73,17,0)&lt;&gt;"",P$1,"")</f>
        <v/>
      </c>
      <c r="Q19" t="str">
        <f>IF(VLOOKUP($A19,Tabelle1!$A$4:$BU$73,18,0)&lt;&gt;"",Q$1,"")</f>
        <v/>
      </c>
      <c r="R19" t="str">
        <f>IF(VLOOKUP($A19,Tabelle1!$A$4:$BU$73,19,0)&lt;&gt;"",R$1,"")</f>
        <v/>
      </c>
      <c r="S19" t="str">
        <f>IF(VLOOKUP($A19,Tabelle1!$A$4:$BU$73,20,0)&lt;&gt;"",S$1,"")</f>
        <v/>
      </c>
      <c r="T19" t="str">
        <f>IF(VLOOKUP($A19,Tabelle1!$A$4:$BU$73,21,0)&lt;&gt;"",T$1,"")</f>
        <v/>
      </c>
      <c r="U19" t="str">
        <f>IF(VLOOKUP($A19,Tabelle1!$A$4:$BU$73,22,0)&lt;&gt;"",U$1,"")</f>
        <v/>
      </c>
      <c r="V19" t="str">
        <f>IF(VLOOKUP($A19,Tabelle1!$A$4:$BU$73,23,0)&lt;&gt;"",V$1,"")</f>
        <v/>
      </c>
      <c r="W19" t="str">
        <f>IF(VLOOKUP($A19,Tabelle1!$A$4:$BU$73,24,0)&lt;&gt;"",W$1,"")</f>
        <v/>
      </c>
      <c r="X19" t="str">
        <f>IF(VLOOKUP($A19,Tabelle1!$A$4:$BU$73,25,0)&lt;&gt;"",X$1,"")</f>
        <v/>
      </c>
      <c r="Y19" t="str">
        <f>IF(VLOOKUP($A19,Tabelle1!$A$4:$BU$73,26,0)&lt;&gt;"",Y$1,"")</f>
        <v/>
      </c>
      <c r="Z19" t="str">
        <f>IF(VLOOKUP($A19,Tabelle1!$A$4:$BU$73,27,0)&lt;&gt;"",Z$1,"")</f>
        <v/>
      </c>
      <c r="AA19" t="str">
        <f>IF(VLOOKUP($A19,Tabelle1!$A$4:$BU$73,28,0)&lt;&gt;"",AA$1,"")</f>
        <v/>
      </c>
      <c r="AB19" t="str">
        <f>IF(VLOOKUP($A19,Tabelle1!$A$4:$BU$73,29,0)&lt;&gt;"",AB$1,"")</f>
        <v>Meliorationsrettich</v>
      </c>
      <c r="AC19" t="str">
        <f>IF(VLOOKUP($A19,Tabelle1!$A$4:$BU$73,30,0)&lt;&gt;"",AC$1,"")</f>
        <v/>
      </c>
      <c r="AD19" t="str">
        <f>IF(VLOOKUP($A19,Tabelle1!$A$4:$BU$73,31,0)&lt;&gt;"",AD$1,"")</f>
        <v/>
      </c>
      <c r="AE19" t="str">
        <f>IF(VLOOKUP($A19,Tabelle1!$A$4:$BU$73,32,0)&lt;&gt;"",AE$1,"")</f>
        <v>Ölrettich</v>
      </c>
      <c r="AF19" t="str">
        <f>IF(VLOOKUP($A19,Tabelle1!$A$4:$BU$73,33,0)&lt;&gt;"",AF$1,"")</f>
        <v/>
      </c>
      <c r="AG19" t="str">
        <f>IF(VLOOKUP($A19,Tabelle1!$A$4:$BU$73,34,0)&lt;&gt;"",AG$1,"")</f>
        <v/>
      </c>
      <c r="AH19" t="str">
        <f>IF(VLOOKUP($A19,Tabelle1!$A$4:$BU$73,35,0)&lt;&gt;"",AH$1,"")</f>
        <v/>
      </c>
      <c r="AI19" t="str">
        <f>IF(VLOOKUP($A19,Tabelle1!$A$4:$BU$73,36,0)&lt;&gt;"",AI$1,"")</f>
        <v/>
      </c>
      <c r="AJ19" t="str">
        <f>IF(VLOOKUP($A19,Tabelle1!$A$4:$BU$73,37,0)&lt;&gt;"",AJ$1,"")</f>
        <v/>
      </c>
      <c r="AK19" t="str">
        <f>IF(VLOOKUP($A19,Tabelle1!$A$4:$BU$73,38,0)&lt;&gt;"",AK$1,"")</f>
        <v/>
      </c>
      <c r="AL19" t="str">
        <f>IF(VLOOKUP($A19,Tabelle1!$A$4:$BU$73,39,0)&lt;&gt;"",AL$1,"")</f>
        <v/>
      </c>
      <c r="AM19" t="str">
        <f>IF(VLOOKUP($A19,Tabelle1!$A$4:$BU$73,40,0)&lt;&gt;"",AM$1,"")</f>
        <v/>
      </c>
      <c r="AN19" t="str">
        <f>IF(VLOOKUP($A19,Tabelle1!$A$4:$BU$73,41,0)&lt;&gt;"",AN$1,"")</f>
        <v/>
      </c>
      <c r="AO19" t="str">
        <f>IF(VLOOKUP($A19,Tabelle1!$A$4:$BU$73,42,0)&lt;&gt;"",AO$1,"")</f>
        <v>Sandhafer / Rauhafer</v>
      </c>
      <c r="AP19" t="str">
        <f>IF(VLOOKUP($A19,Tabelle1!$A$4:$BU$73,43,0)&lt;&gt;"",AP$1,"")</f>
        <v>Sarepta-Senf</v>
      </c>
      <c r="AQ19" t="str">
        <f>IF(VLOOKUP($A19,Tabelle1!$A$4:$BU$73,44,0)&lt;&gt;"",AQ$1,"")</f>
        <v/>
      </c>
      <c r="AR19" t="str">
        <f>IF(VLOOKUP($A19,Tabelle1!$A$4:$BU$73,45,0)&lt;&gt;"",AR$1,"")</f>
        <v/>
      </c>
      <c r="AS19" t="str">
        <f>IF(VLOOKUP($A19,Tabelle1!$A$4:$BU$73,46,0)&lt;&gt;"",AS$1,"")</f>
        <v/>
      </c>
      <c r="AT19" t="str">
        <f>IF(VLOOKUP($A19,Tabelle1!$A$4:$BU$73,47,0)&lt;&gt;"",AT$1,"")</f>
        <v/>
      </c>
      <c r="AU19" t="str">
        <f>IF(VLOOKUP($A19,Tabelle1!$A$4:$BU$73,48,0)&lt;&gt;"",AU$1,"")</f>
        <v/>
      </c>
      <c r="AV19" t="str">
        <f>IF(VLOOKUP($A19,Tabelle1!$A$4:$BU$73,49,0)&lt;&gt;"",AV$1,"")</f>
        <v/>
      </c>
      <c r="AW19" t="str">
        <f>IF(VLOOKUP($A19,Tabelle1!$A$4:$BU$73,50,0)&lt;&gt;"",AW$1,"")</f>
        <v/>
      </c>
      <c r="AX19" t="str">
        <f>IF(VLOOKUP($A19,Tabelle1!$A$4:$BU$73,51,0)&lt;&gt;"",AX$1,"")</f>
        <v/>
      </c>
      <c r="AY19" t="str">
        <f>IF(VLOOKUP($A19,Tabelle1!$A$4:$BU$73,52,0)&lt;&gt;"",AY$1,"")</f>
        <v/>
      </c>
      <c r="AZ19" t="str">
        <f>IF(VLOOKUP($A19,Tabelle1!$A$4:$BU$73,53,0)&lt;&gt;"",AZ$1,"")</f>
        <v/>
      </c>
      <c r="BA19" t="str">
        <f>IF(VLOOKUP($A19,Tabelle1!$A$4:$BU$73,54,0)&lt;&gt;"",BA$1,"")</f>
        <v/>
      </c>
      <c r="BB19" t="str">
        <f>IF(VLOOKUP($A19,Tabelle1!$A$4:$BU$73,55,0)&lt;&gt;"",BB$1,"")</f>
        <v/>
      </c>
      <c r="BC19" t="str">
        <f>IF(VLOOKUP($A19,Tabelle1!$A$4:$BU$73,56,0)&lt;&gt;"",BC$1,"")</f>
        <v/>
      </c>
      <c r="BD19" t="str">
        <f>IF(VLOOKUP($A19,Tabelle1!$A$4:$BU$73,57,0)&lt;&gt;"",BD$1,"")</f>
        <v/>
      </c>
      <c r="BE19" t="str">
        <f>IF(VLOOKUP($A19,Tabelle1!$A$4:$BU$73,58,0)&lt;&gt;"",BE$1,"")</f>
        <v/>
      </c>
      <c r="BF19" t="str">
        <f>IF(VLOOKUP($A19,Tabelle1!$A$4:$BU$73,59,0)&lt;&gt;"",BF$1,"")</f>
        <v/>
      </c>
      <c r="BG19" t="str">
        <f>IF(VLOOKUP($A19,Tabelle1!$A$4:$BU$73,60,0)&lt;&gt;"",BG$1,"")</f>
        <v/>
      </c>
      <c r="BH19" t="str">
        <f>IF(VLOOKUP($A19,Tabelle1!$A$4:$BU$73,61,0)&lt;&gt;"",BH$1,"")</f>
        <v/>
      </c>
      <c r="BI19" t="str">
        <f>IF(VLOOKUP($A19,Tabelle1!$A$4:$BU$73,62,0)&lt;&gt;"",BI$1,"")</f>
        <v/>
      </c>
      <c r="BJ19" t="str">
        <f>IF(VLOOKUP($A19,Tabelle1!$A$4:$BU$73,63,0)&lt;&gt;"",BJ$1,"")</f>
        <v/>
      </c>
      <c r="BK19" t="str">
        <f>IF(VLOOKUP($A19,Tabelle1!$A$4:$BU$73,64,0)&lt;&gt;"",BK$1,"")</f>
        <v/>
      </c>
      <c r="BL19" t="str">
        <f>IF(VLOOKUP($A19,Tabelle1!$A$4:$BU$73,65,0)&lt;&gt;"",BL$1,"")</f>
        <v/>
      </c>
      <c r="BM19" t="str">
        <f>IF(VLOOKUP($A19,Tabelle1!$A$4:$BU$73,66,0)&lt;&gt;"",BM$1,"")</f>
        <v/>
      </c>
      <c r="BN19" t="str">
        <f>IF(VLOOKUP($A19,Tabelle1!$A$4:$BU$73,67,0)&lt;&gt;"",BN$1,"")</f>
        <v/>
      </c>
      <c r="BO19" t="str">
        <f>IF(VLOOKUP($A19,Tabelle1!$A$4:$BU$73,68,0)&lt;&gt;"",BO$1,"")</f>
        <v/>
      </c>
      <c r="BP19" t="str">
        <f>IF(VLOOKUP($A19,Tabelle1!$A$4:$BU$73,69,0)&lt;&gt;"",BP$1,"")</f>
        <v/>
      </c>
      <c r="BQ19" t="str">
        <f>IF(VLOOKUP($A19,Tabelle1!$A$4:$BU$73,70,0)&lt;&gt;"",BQ$1,"")</f>
        <v/>
      </c>
      <c r="BR19" t="str">
        <f>IF(VLOOKUP($A19,Tabelle1!$A$4:$BU$73,71,0)&lt;&gt;"",BR$1,"")</f>
        <v/>
      </c>
      <c r="BS19" t="str">
        <f>IF(VLOOKUP($A19,Tabelle1!$A$4:$BU$73,72,0)&lt;&gt;"",BS$1,"")</f>
        <v/>
      </c>
      <c r="BT19" t="str">
        <f>IF(VLOOKUP($A19,Tabelle1!$A$4:$BU$73,73,0)&lt;&gt;"",BT$1,"")</f>
        <v/>
      </c>
    </row>
    <row r="20" spans="1:72" x14ac:dyDescent="0.2">
      <c r="A20" t="s">
        <v>431</v>
      </c>
      <c r="B20">
        <v>25</v>
      </c>
      <c r="C20">
        <v>3.75</v>
      </c>
      <c r="D20" t="str">
        <f>IF(VLOOKUP($A20,Tabelle1!$A$4:$BU$73,5,0)&lt;&gt;"",D$1,"")</f>
        <v/>
      </c>
      <c r="E20" t="str">
        <f>IF(VLOOKUP($A20,Tabelle1!$A$4:$BU$73,6,0)&lt;&gt;"",E$1,"")</f>
        <v/>
      </c>
      <c r="F20" t="str">
        <f>IF(VLOOKUP($A20,Tabelle1!$A$4:$BU$73,7,0)&lt;&gt;"",F$1,"")</f>
        <v>Alexandrinerklee</v>
      </c>
      <c r="G20" t="str">
        <f>IF(VLOOKUP($A20,Tabelle1!$A$4:$BU$73,8,0)&lt;&gt;"",G$1,"")</f>
        <v/>
      </c>
      <c r="H20" t="str">
        <f>IF(VLOOKUP($A20,Tabelle1!$A$4:$BU$73,9,0)&lt;&gt;"",H$1,"")</f>
        <v/>
      </c>
      <c r="I20" t="str">
        <f>IF(VLOOKUP($A20,Tabelle1!$A$4:$BU$73,10,0)&lt;&gt;"",I$1,"")</f>
        <v xml:space="preserve">Buchweizen </v>
      </c>
      <c r="J20" t="str">
        <f>IF(VLOOKUP($A20,Tabelle1!$A$4:$BU$73,11,0)&lt;&gt;"",J$1,"")</f>
        <v/>
      </c>
      <c r="K20" t="str">
        <f>IF(VLOOKUP($A20,Tabelle1!$A$4:$BU$73,12,0)&lt;&gt;"",K$1,"")</f>
        <v/>
      </c>
      <c r="L20" t="str">
        <f>IF(VLOOKUP($A20,Tabelle1!$A$4:$BU$73,13,0)&lt;&gt;"",L$1,"")</f>
        <v/>
      </c>
      <c r="M20" t="str">
        <f>IF(VLOOKUP($A20,Tabelle1!$A$4:$BU$73,14,0)&lt;&gt;"",M$1,"")</f>
        <v/>
      </c>
      <c r="N20" t="str">
        <f>IF(VLOOKUP($A20,Tabelle1!$A$4:$BU$73,15,0)&lt;&gt;"",N$1,"")</f>
        <v/>
      </c>
      <c r="O20" t="str">
        <f>IF(VLOOKUP($A20,Tabelle1!$A$4:$BU$73,16,0)&lt;&gt;"",O$1,"")</f>
        <v/>
      </c>
      <c r="P20" t="str">
        <f>IF(VLOOKUP($A20,Tabelle1!$A$4:$BU$73,17,0)&lt;&gt;"",P$1,"")</f>
        <v/>
      </c>
      <c r="Q20" t="str">
        <f>IF(VLOOKUP($A20,Tabelle1!$A$4:$BU$73,18,0)&lt;&gt;"",Q$1,"")</f>
        <v/>
      </c>
      <c r="R20" t="str">
        <f>IF(VLOOKUP($A20,Tabelle1!$A$4:$BU$73,19,0)&lt;&gt;"",R$1,"")</f>
        <v/>
      </c>
      <c r="S20" t="str">
        <f>IF(VLOOKUP($A20,Tabelle1!$A$4:$BU$73,20,0)&lt;&gt;"",S$1,"")</f>
        <v/>
      </c>
      <c r="T20" t="str">
        <f>IF(VLOOKUP($A20,Tabelle1!$A$4:$BU$73,21,0)&lt;&gt;"",T$1,"")</f>
        <v/>
      </c>
      <c r="U20" t="str">
        <f>IF(VLOOKUP($A20,Tabelle1!$A$4:$BU$73,22,0)&lt;&gt;"",U$1,"")</f>
        <v/>
      </c>
      <c r="V20" t="str">
        <f>IF(VLOOKUP($A20,Tabelle1!$A$4:$BU$73,23,0)&lt;&gt;"",V$1,"")</f>
        <v>Kresse</v>
      </c>
      <c r="W20" t="str">
        <f>IF(VLOOKUP($A20,Tabelle1!$A$4:$BU$73,24,0)&lt;&gt;"",W$1,"")</f>
        <v/>
      </c>
      <c r="X20" t="str">
        <f>IF(VLOOKUP($A20,Tabelle1!$A$4:$BU$73,25,0)&lt;&gt;"",X$1,"")</f>
        <v/>
      </c>
      <c r="Y20" t="str">
        <f>IF(VLOOKUP($A20,Tabelle1!$A$4:$BU$73,26,0)&lt;&gt;"",Y$1,"")</f>
        <v/>
      </c>
      <c r="Z20" t="str">
        <f>IF(VLOOKUP($A20,Tabelle1!$A$4:$BU$73,27,0)&lt;&gt;"",Z$1,"")</f>
        <v/>
      </c>
      <c r="AA20" t="str">
        <f>IF(VLOOKUP($A20,Tabelle1!$A$4:$BU$73,28,0)&lt;&gt;"",AA$1,"")</f>
        <v/>
      </c>
      <c r="AB20" t="str">
        <f>IF(VLOOKUP($A20,Tabelle1!$A$4:$BU$73,29,0)&lt;&gt;"",AB$1,"")</f>
        <v/>
      </c>
      <c r="AC20" t="str">
        <f>IF(VLOOKUP($A20,Tabelle1!$A$4:$BU$73,30,0)&lt;&gt;"",AC$1,"")</f>
        <v>Schwarzsamen/Ramtilkraut/Gingellikraut/Mungo</v>
      </c>
      <c r="AD20" t="str">
        <f>IF(VLOOKUP($A20,Tabelle1!$A$4:$BU$73,31,0)&lt;&gt;"",AD$1,"")</f>
        <v/>
      </c>
      <c r="AE20" t="str">
        <f>IF(VLOOKUP($A20,Tabelle1!$A$4:$BU$73,32,0)&lt;&gt;"",AE$1,"")</f>
        <v/>
      </c>
      <c r="AF20" t="str">
        <f>IF(VLOOKUP($A20,Tabelle1!$A$4:$BU$73,33,0)&lt;&gt;"",AF$1,"")</f>
        <v/>
      </c>
      <c r="AG20" t="str">
        <f>IF(VLOOKUP($A20,Tabelle1!$A$4:$BU$73,34,0)&lt;&gt;"",AG$1,"")</f>
        <v/>
      </c>
      <c r="AH20" t="str">
        <f>IF(VLOOKUP($A20,Tabelle1!$A$4:$BU$73,35,0)&lt;&gt;"",AH$1,"")</f>
        <v>Phazelie</v>
      </c>
      <c r="AI20" t="str">
        <f>IF(VLOOKUP($A20,Tabelle1!$A$4:$BU$73,36,0)&lt;&gt;"",AI$1,"")</f>
        <v/>
      </c>
      <c r="AJ20" t="str">
        <f>IF(VLOOKUP($A20,Tabelle1!$A$4:$BU$73,37,0)&lt;&gt;"",AJ$1,"")</f>
        <v/>
      </c>
      <c r="AK20" t="str">
        <f>IF(VLOOKUP($A20,Tabelle1!$A$4:$BU$73,38,0)&lt;&gt;"",AK$1,"")</f>
        <v/>
      </c>
      <c r="AL20" t="str">
        <f>IF(VLOOKUP($A20,Tabelle1!$A$4:$BU$73,39,0)&lt;&gt;"",AL$1,"")</f>
        <v/>
      </c>
      <c r="AM20" t="str">
        <f>IF(VLOOKUP($A20,Tabelle1!$A$4:$BU$73,40,0)&lt;&gt;"",AM$1,"")</f>
        <v/>
      </c>
      <c r="AN20" t="str">
        <f>IF(VLOOKUP($A20,Tabelle1!$A$4:$BU$73,41,0)&lt;&gt;"",AN$1,"")</f>
        <v/>
      </c>
      <c r="AO20" t="str">
        <f>IF(VLOOKUP($A20,Tabelle1!$A$4:$BU$73,42,0)&lt;&gt;"",AO$1,"")</f>
        <v/>
      </c>
      <c r="AP20" t="str">
        <f>IF(VLOOKUP($A20,Tabelle1!$A$4:$BU$73,43,0)&lt;&gt;"",AP$1,"")</f>
        <v/>
      </c>
      <c r="AQ20" t="str">
        <f>IF(VLOOKUP($A20,Tabelle1!$A$4:$BU$73,44,0)&lt;&gt;"",AQ$1,"")</f>
        <v/>
      </c>
      <c r="AR20" t="str">
        <f>IF(VLOOKUP($A20,Tabelle1!$A$4:$BU$73,45,0)&lt;&gt;"",AR$1,"")</f>
        <v/>
      </c>
      <c r="AS20" t="str">
        <f>IF(VLOOKUP($A20,Tabelle1!$A$4:$BU$73,46,0)&lt;&gt;"",AS$1,"")</f>
        <v/>
      </c>
      <c r="AT20" t="str">
        <f>IF(VLOOKUP($A20,Tabelle1!$A$4:$BU$73,47,0)&lt;&gt;"",AT$1,"")</f>
        <v/>
      </c>
      <c r="AU20" t="str">
        <f>IF(VLOOKUP($A20,Tabelle1!$A$4:$BU$73,48,0)&lt;&gt;"",AU$1,"")</f>
        <v/>
      </c>
      <c r="AV20" t="str">
        <f>IF(VLOOKUP($A20,Tabelle1!$A$4:$BU$73,49,0)&lt;&gt;"",AV$1,"")</f>
        <v/>
      </c>
      <c r="AW20" t="str">
        <f>IF(VLOOKUP($A20,Tabelle1!$A$4:$BU$73,50,0)&lt;&gt;"",AW$1,"")</f>
        <v/>
      </c>
      <c r="AX20" t="str">
        <f>IF(VLOOKUP($A20,Tabelle1!$A$4:$BU$73,51,0)&lt;&gt;"",AX$1,"")</f>
        <v/>
      </c>
      <c r="AY20" t="str">
        <f>IF(VLOOKUP($A20,Tabelle1!$A$4:$BU$73,52,0)&lt;&gt;"",AY$1,"")</f>
        <v/>
      </c>
      <c r="AZ20" t="str">
        <f>IF(VLOOKUP($A20,Tabelle1!$A$4:$BU$73,53,0)&lt;&gt;"",AZ$1,"")</f>
        <v/>
      </c>
      <c r="BA20" t="str">
        <f>IF(VLOOKUP($A20,Tabelle1!$A$4:$BU$73,54,0)&lt;&gt;"",BA$1,"")</f>
        <v/>
      </c>
      <c r="BB20" t="str">
        <f>IF(VLOOKUP($A20,Tabelle1!$A$4:$BU$73,55,0)&lt;&gt;"",BB$1,"")</f>
        <v/>
      </c>
      <c r="BC20" t="str">
        <f>IF(VLOOKUP($A20,Tabelle1!$A$4:$BU$73,56,0)&lt;&gt;"",BC$1,"")</f>
        <v/>
      </c>
      <c r="BD20" t="str">
        <f>IF(VLOOKUP($A20,Tabelle1!$A$4:$BU$73,57,0)&lt;&gt;"",BD$1,"")</f>
        <v/>
      </c>
      <c r="BE20" t="str">
        <f>IF(VLOOKUP($A20,Tabelle1!$A$4:$BU$73,58,0)&lt;&gt;"",BE$1,"")</f>
        <v/>
      </c>
      <c r="BF20" t="str">
        <f>IF(VLOOKUP($A20,Tabelle1!$A$4:$BU$73,59,0)&lt;&gt;"",BF$1,"")</f>
        <v/>
      </c>
      <c r="BG20" t="str">
        <f>IF(VLOOKUP($A20,Tabelle1!$A$4:$BU$73,60,0)&lt;&gt;"",BG$1,"")</f>
        <v/>
      </c>
      <c r="BH20" t="str">
        <f>IF(VLOOKUP($A20,Tabelle1!$A$4:$BU$73,61,0)&lt;&gt;"",BH$1,"")</f>
        <v/>
      </c>
      <c r="BI20" t="str">
        <f>IF(VLOOKUP($A20,Tabelle1!$A$4:$BU$73,62,0)&lt;&gt;"",BI$1,"")</f>
        <v/>
      </c>
      <c r="BJ20" t="str">
        <f>IF(VLOOKUP($A20,Tabelle1!$A$4:$BU$73,63,0)&lt;&gt;"",BJ$1,"")</f>
        <v/>
      </c>
      <c r="BK20" t="str">
        <f>IF(VLOOKUP($A20,Tabelle1!$A$4:$BU$73,64,0)&lt;&gt;"",BK$1,"")</f>
        <v/>
      </c>
      <c r="BL20" t="str">
        <f>IF(VLOOKUP($A20,Tabelle1!$A$4:$BU$73,65,0)&lt;&gt;"",BL$1,"")</f>
        <v/>
      </c>
      <c r="BM20" t="str">
        <f>IF(VLOOKUP($A20,Tabelle1!$A$4:$BU$73,66,0)&lt;&gt;"",BM$1,"")</f>
        <v/>
      </c>
      <c r="BN20" t="str">
        <f>IF(VLOOKUP($A20,Tabelle1!$A$4:$BU$73,67,0)&lt;&gt;"",BN$1,"")</f>
        <v/>
      </c>
      <c r="BO20" t="str">
        <f>IF(VLOOKUP($A20,Tabelle1!$A$4:$BU$73,68,0)&lt;&gt;"",BO$1,"")</f>
        <v/>
      </c>
      <c r="BP20" t="str">
        <f>IF(VLOOKUP($A20,Tabelle1!$A$4:$BU$73,69,0)&lt;&gt;"",BP$1,"")</f>
        <v/>
      </c>
      <c r="BQ20" t="str">
        <f>IF(VLOOKUP($A20,Tabelle1!$A$4:$BU$73,70,0)&lt;&gt;"",BQ$1,"")</f>
        <v/>
      </c>
      <c r="BR20" t="str">
        <f>IF(VLOOKUP($A20,Tabelle1!$A$4:$BU$73,71,0)&lt;&gt;"",BR$1,"")</f>
        <v/>
      </c>
      <c r="BS20" t="str">
        <f>IF(VLOOKUP($A20,Tabelle1!$A$4:$BU$73,72,0)&lt;&gt;"",BS$1,"")</f>
        <v/>
      </c>
      <c r="BT20" t="str">
        <f>IF(VLOOKUP($A20,Tabelle1!$A$4:$BU$73,73,0)&lt;&gt;"",BT$1,"")</f>
        <v/>
      </c>
    </row>
    <row r="21" spans="1:72" x14ac:dyDescent="0.2">
      <c r="A21" t="s">
        <v>734</v>
      </c>
      <c r="B21">
        <v>25</v>
      </c>
      <c r="C21">
        <v>4.1900000000000004</v>
      </c>
      <c r="D21" t="str">
        <f>IF(VLOOKUP($A21,Tabelle1!$A$4:$BU$73,5,0)&lt;&gt;"",D$1,"")</f>
        <v/>
      </c>
      <c r="E21" t="str">
        <f>IF(VLOOKUP($A21,Tabelle1!$A$4:$BU$73,6,0)&lt;&gt;"",E$1,"")</f>
        <v/>
      </c>
      <c r="F21" t="str">
        <f>IF(VLOOKUP($A21,Tabelle1!$A$4:$BU$73,7,0)&lt;&gt;"",F$1,"")</f>
        <v>Alexandrinerklee</v>
      </c>
      <c r="G21" t="str">
        <f>IF(VLOOKUP($A21,Tabelle1!$A$4:$BU$73,8,0)&lt;&gt;"",G$1,"")</f>
        <v/>
      </c>
      <c r="H21" t="str">
        <f>IF(VLOOKUP($A21,Tabelle1!$A$4:$BU$73,9,0)&lt;&gt;"",H$1,"")</f>
        <v/>
      </c>
      <c r="I21" t="str">
        <f>IF(VLOOKUP($A21,Tabelle1!$A$4:$BU$73,10,0)&lt;&gt;"",I$1,"")</f>
        <v/>
      </c>
      <c r="J21" t="str">
        <f>IF(VLOOKUP($A21,Tabelle1!$A$4:$BU$73,11,0)&lt;&gt;"",J$1,"")</f>
        <v/>
      </c>
      <c r="K21" t="str">
        <f>IF(VLOOKUP($A21,Tabelle1!$A$4:$BU$73,12,0)&lt;&gt;"",K$1,"")</f>
        <v/>
      </c>
      <c r="L21" t="str">
        <f>IF(VLOOKUP($A21,Tabelle1!$A$4:$BU$73,13,0)&lt;&gt;"",L$1,"")</f>
        <v/>
      </c>
      <c r="M21" t="str">
        <f>IF(VLOOKUP($A21,Tabelle1!$A$4:$BU$73,14,0)&lt;&gt;"",M$1,"")</f>
        <v/>
      </c>
      <c r="N21" t="str">
        <f>IF(VLOOKUP($A21,Tabelle1!$A$4:$BU$73,15,0)&lt;&gt;"",N$1,"")</f>
        <v/>
      </c>
      <c r="O21" t="str">
        <f>IF(VLOOKUP($A21,Tabelle1!$A$4:$BU$73,16,0)&lt;&gt;"",O$1,"")</f>
        <v/>
      </c>
      <c r="P21" t="str">
        <f>IF(VLOOKUP($A21,Tabelle1!$A$4:$BU$73,17,0)&lt;&gt;"",P$1,"")</f>
        <v/>
      </c>
      <c r="Q21" t="str">
        <f>IF(VLOOKUP($A21,Tabelle1!$A$4:$BU$73,18,0)&lt;&gt;"",Q$1,"")</f>
        <v/>
      </c>
      <c r="R21" t="str">
        <f>IF(VLOOKUP($A21,Tabelle1!$A$4:$BU$73,19,0)&lt;&gt;"",R$1,"")</f>
        <v/>
      </c>
      <c r="S21" t="str">
        <f>IF(VLOOKUP($A21,Tabelle1!$A$4:$BU$73,20,0)&lt;&gt;"",S$1,"")</f>
        <v/>
      </c>
      <c r="T21" t="str">
        <f>IF(VLOOKUP($A21,Tabelle1!$A$4:$BU$73,21,0)&lt;&gt;"",T$1,"")</f>
        <v/>
      </c>
      <c r="U21" t="str">
        <f>IF(VLOOKUP($A21,Tabelle1!$A$4:$BU$73,22,0)&lt;&gt;"",U$1,"")</f>
        <v/>
      </c>
      <c r="V21" t="str">
        <f>IF(VLOOKUP($A21,Tabelle1!$A$4:$BU$73,23,0)&lt;&gt;"",V$1,"")</f>
        <v>Kresse</v>
      </c>
      <c r="W21" t="str">
        <f>IF(VLOOKUP($A21,Tabelle1!$A$4:$BU$73,24,0)&lt;&gt;"",W$1,"")</f>
        <v/>
      </c>
      <c r="X21" t="str">
        <f>IF(VLOOKUP($A21,Tabelle1!$A$4:$BU$73,25,0)&lt;&gt;"",X$1,"")</f>
        <v/>
      </c>
      <c r="Y21" t="str">
        <f>IF(VLOOKUP($A21,Tabelle1!$A$4:$BU$73,26,0)&lt;&gt;"",Y$1,"")</f>
        <v>Leindotter</v>
      </c>
      <c r="Z21" t="str">
        <f>IF(VLOOKUP($A21,Tabelle1!$A$4:$BU$73,27,0)&lt;&gt;"",Z$1,"")</f>
        <v/>
      </c>
      <c r="AA21" t="str">
        <f>IF(VLOOKUP($A21,Tabelle1!$A$4:$BU$73,28,0)&lt;&gt;"",AA$1,"")</f>
        <v/>
      </c>
      <c r="AB21" t="str">
        <f>IF(VLOOKUP($A21,Tabelle1!$A$4:$BU$73,29,0)&lt;&gt;"",AB$1,"")</f>
        <v/>
      </c>
      <c r="AC21" t="str">
        <f>IF(VLOOKUP($A21,Tabelle1!$A$4:$BU$73,30,0)&lt;&gt;"",AC$1,"")</f>
        <v>Schwarzsamen/Ramtilkraut/Gingellikraut/Mungo</v>
      </c>
      <c r="AD21" t="str">
        <f>IF(VLOOKUP($A21,Tabelle1!$A$4:$BU$73,31,0)&lt;&gt;"",AD$1,"")</f>
        <v>Öllein</v>
      </c>
      <c r="AE21" t="str">
        <f>IF(VLOOKUP($A21,Tabelle1!$A$4:$BU$73,32,0)&lt;&gt;"",AE$1,"")</f>
        <v>Ölrettich</v>
      </c>
      <c r="AF21" t="str">
        <f>IF(VLOOKUP($A21,Tabelle1!$A$4:$BU$73,33,0)&lt;&gt;"",AF$1,"")</f>
        <v/>
      </c>
      <c r="AG21" t="str">
        <f>IF(VLOOKUP($A21,Tabelle1!$A$4:$BU$73,34,0)&lt;&gt;"",AG$1,"")</f>
        <v>Persischer Klee</v>
      </c>
      <c r="AH21" t="str">
        <f>IF(VLOOKUP($A21,Tabelle1!$A$4:$BU$73,35,0)&lt;&gt;"",AH$1,"")</f>
        <v>Phazelie</v>
      </c>
      <c r="AI21" t="str">
        <f>IF(VLOOKUP($A21,Tabelle1!$A$4:$BU$73,36,0)&lt;&gt;"",AI$1,"")</f>
        <v/>
      </c>
      <c r="AJ21" t="str">
        <f>IF(VLOOKUP($A21,Tabelle1!$A$4:$BU$73,37,0)&lt;&gt;"",AJ$1,"")</f>
        <v/>
      </c>
      <c r="AK21" t="str">
        <f>IF(VLOOKUP($A21,Tabelle1!$A$4:$BU$73,38,0)&lt;&gt;"",AK$1,"")</f>
        <v/>
      </c>
      <c r="AL21" t="str">
        <f>IF(VLOOKUP($A21,Tabelle1!$A$4:$BU$73,39,0)&lt;&gt;"",AL$1,"")</f>
        <v/>
      </c>
      <c r="AM21" t="str">
        <f>IF(VLOOKUP($A21,Tabelle1!$A$4:$BU$73,40,0)&lt;&gt;"",AM$1,"")</f>
        <v>Saatwicke / Sommerwicke</v>
      </c>
      <c r="AN21" t="str">
        <f>IF(VLOOKUP($A21,Tabelle1!$A$4:$BU$73,41,0)&lt;&gt;"",AN$1,"")</f>
        <v/>
      </c>
      <c r="AO21" t="str">
        <f>IF(VLOOKUP($A21,Tabelle1!$A$4:$BU$73,42,0)&lt;&gt;"",AO$1,"")</f>
        <v>Sandhafer / Rauhafer</v>
      </c>
      <c r="AP21" t="str">
        <f>IF(VLOOKUP($A21,Tabelle1!$A$4:$BU$73,43,0)&lt;&gt;"",AP$1,"")</f>
        <v/>
      </c>
      <c r="AQ21" t="str">
        <f>IF(VLOOKUP($A21,Tabelle1!$A$4:$BU$73,44,0)&lt;&gt;"",AQ$1,"")</f>
        <v/>
      </c>
      <c r="AR21" t="str">
        <f>IF(VLOOKUP($A21,Tabelle1!$A$4:$BU$73,45,0)&lt;&gt;"",AR$1,"")</f>
        <v/>
      </c>
      <c r="AS21" t="str">
        <f>IF(VLOOKUP($A21,Tabelle1!$A$4:$BU$73,46,0)&lt;&gt;"",AS$1,"")</f>
        <v/>
      </c>
      <c r="AT21" t="str">
        <f>IF(VLOOKUP($A21,Tabelle1!$A$4:$BU$73,47,0)&lt;&gt;"",AT$1,"")</f>
        <v/>
      </c>
      <c r="AU21" t="str">
        <f>IF(VLOOKUP($A21,Tabelle1!$A$4:$BU$73,48,0)&lt;&gt;"",AU$1,"")</f>
        <v>Sonnenblume</v>
      </c>
      <c r="AV21" t="str">
        <f>IF(VLOOKUP($A21,Tabelle1!$A$4:$BU$73,49,0)&lt;&gt;"",AV$1,"")</f>
        <v/>
      </c>
      <c r="AW21" t="str">
        <f>IF(VLOOKUP($A21,Tabelle1!$A$4:$BU$73,50,0)&lt;&gt;"",AW$1,"")</f>
        <v/>
      </c>
      <c r="AX21" t="str">
        <f>IF(VLOOKUP($A21,Tabelle1!$A$4:$BU$73,51,0)&lt;&gt;"",AX$1,"")</f>
        <v/>
      </c>
      <c r="AY21" t="str">
        <f>IF(VLOOKUP($A21,Tabelle1!$A$4:$BU$73,52,0)&lt;&gt;"",AY$1,"")</f>
        <v/>
      </c>
      <c r="AZ21" t="str">
        <f>IF(VLOOKUP($A21,Tabelle1!$A$4:$BU$73,53,0)&lt;&gt;"",AZ$1,"")</f>
        <v/>
      </c>
      <c r="BA21" t="str">
        <f>IF(VLOOKUP($A21,Tabelle1!$A$4:$BU$73,54,0)&lt;&gt;"",BA$1,"")</f>
        <v/>
      </c>
      <c r="BB21" t="str">
        <f>IF(VLOOKUP($A21,Tabelle1!$A$4:$BU$73,55,0)&lt;&gt;"",BB$1,"")</f>
        <v/>
      </c>
      <c r="BC21" t="str">
        <f>IF(VLOOKUP($A21,Tabelle1!$A$4:$BU$73,56,0)&lt;&gt;"",BC$1,"")</f>
        <v/>
      </c>
      <c r="BD21" t="str">
        <f>IF(VLOOKUP($A21,Tabelle1!$A$4:$BU$73,57,0)&lt;&gt;"",BD$1,"")</f>
        <v/>
      </c>
      <c r="BE21" t="str">
        <f>IF(VLOOKUP($A21,Tabelle1!$A$4:$BU$73,58,0)&lt;&gt;"",BE$1,"")</f>
        <v/>
      </c>
      <c r="BF21" t="str">
        <f>IF(VLOOKUP($A21,Tabelle1!$A$4:$BU$73,59,0)&lt;&gt;"",BF$1,"")</f>
        <v/>
      </c>
      <c r="BG21" t="str">
        <f>IF(VLOOKUP($A21,Tabelle1!$A$4:$BU$73,60,0)&lt;&gt;"",BG$1,"")</f>
        <v/>
      </c>
      <c r="BH21" t="str">
        <f>IF(VLOOKUP($A21,Tabelle1!$A$4:$BU$73,61,0)&lt;&gt;"",BH$1,"")</f>
        <v/>
      </c>
      <c r="BI21" t="str">
        <f>IF(VLOOKUP($A21,Tabelle1!$A$4:$BU$73,62,0)&lt;&gt;"",BI$1,"")</f>
        <v/>
      </c>
      <c r="BJ21" t="str">
        <f>IF(VLOOKUP($A21,Tabelle1!$A$4:$BU$73,63,0)&lt;&gt;"",BJ$1,"")</f>
        <v/>
      </c>
      <c r="BK21" t="str">
        <f>IF(VLOOKUP($A21,Tabelle1!$A$4:$BU$73,64,0)&lt;&gt;"",BK$1,"")</f>
        <v/>
      </c>
      <c r="BL21" t="str">
        <f>IF(VLOOKUP($A21,Tabelle1!$A$4:$BU$73,65,0)&lt;&gt;"",BL$1,"")</f>
        <v/>
      </c>
      <c r="BM21" t="str">
        <f>IF(VLOOKUP($A21,Tabelle1!$A$4:$BU$73,66,0)&lt;&gt;"",BM$1,"")</f>
        <v/>
      </c>
      <c r="BN21" t="str">
        <f>IF(VLOOKUP($A21,Tabelle1!$A$4:$BU$73,67,0)&lt;&gt;"",BN$1,"")</f>
        <v/>
      </c>
      <c r="BO21" t="str">
        <f>IF(VLOOKUP($A21,Tabelle1!$A$4:$BU$73,68,0)&lt;&gt;"",BO$1,"")</f>
        <v/>
      </c>
      <c r="BP21" t="str">
        <f>IF(VLOOKUP($A21,Tabelle1!$A$4:$BU$73,69,0)&lt;&gt;"",BP$1,"")</f>
        <v/>
      </c>
      <c r="BQ21" t="str">
        <f>IF(VLOOKUP($A21,Tabelle1!$A$4:$BU$73,70,0)&lt;&gt;"",BQ$1,"")</f>
        <v/>
      </c>
      <c r="BR21" t="str">
        <f>IF(VLOOKUP($A21,Tabelle1!$A$4:$BU$73,71,0)&lt;&gt;"",BR$1,"")</f>
        <v/>
      </c>
      <c r="BS21" t="str">
        <f>IF(VLOOKUP($A21,Tabelle1!$A$4:$BU$73,72,0)&lt;&gt;"",BS$1,"")</f>
        <v/>
      </c>
      <c r="BT21" t="str">
        <f>IF(VLOOKUP($A21,Tabelle1!$A$4:$BU$73,73,0)&lt;&gt;"",BT$1,"")</f>
        <v/>
      </c>
    </row>
    <row r="22" spans="1:72" x14ac:dyDescent="0.2">
      <c r="A22" t="s">
        <v>45</v>
      </c>
      <c r="B22">
        <v>25</v>
      </c>
      <c r="C22">
        <v>3.15</v>
      </c>
      <c r="D22" t="str">
        <f>IF(VLOOKUP($A22,Tabelle1!$A$4:$BU$73,5,0)&lt;&gt;"",D$1,"")</f>
        <v/>
      </c>
      <c r="E22" t="str">
        <f>IF(VLOOKUP($A22,Tabelle1!$A$4:$BU$73,6,0)&lt;&gt;"",E$1,"")</f>
        <v/>
      </c>
      <c r="F22" t="str">
        <f>IF(VLOOKUP($A22,Tabelle1!$A$4:$BU$73,7,0)&lt;&gt;"",F$1,"")</f>
        <v>Alexandrinerklee</v>
      </c>
      <c r="G22" t="str">
        <f>IF(VLOOKUP($A22,Tabelle1!$A$4:$BU$73,8,0)&lt;&gt;"",G$1,"")</f>
        <v/>
      </c>
      <c r="H22" t="str">
        <f>IF(VLOOKUP($A22,Tabelle1!$A$4:$BU$73,9,0)&lt;&gt;"",H$1,"")</f>
        <v/>
      </c>
      <c r="I22" t="str">
        <f>IF(VLOOKUP($A22,Tabelle1!$A$4:$BU$73,10,0)&lt;&gt;"",I$1,"")</f>
        <v xml:space="preserve">Buchweizen </v>
      </c>
      <c r="J22" t="str">
        <f>IF(VLOOKUP($A22,Tabelle1!$A$4:$BU$73,11,0)&lt;&gt;"",J$1,"")</f>
        <v/>
      </c>
      <c r="K22" t="str">
        <f>IF(VLOOKUP($A22,Tabelle1!$A$4:$BU$73,12,0)&lt;&gt;"",K$1,"")</f>
        <v/>
      </c>
      <c r="L22" t="str">
        <f>IF(VLOOKUP($A22,Tabelle1!$A$4:$BU$73,13,0)&lt;&gt;"",L$1,"")</f>
        <v/>
      </c>
      <c r="M22" t="str">
        <f>IF(VLOOKUP($A22,Tabelle1!$A$4:$BU$73,14,0)&lt;&gt;"",M$1,"")</f>
        <v/>
      </c>
      <c r="N22" t="str">
        <f>IF(VLOOKUP($A22,Tabelle1!$A$4:$BU$73,15,0)&lt;&gt;"",N$1,"")</f>
        <v/>
      </c>
      <c r="O22" t="str">
        <f>IF(VLOOKUP($A22,Tabelle1!$A$4:$BU$73,16,0)&lt;&gt;"",O$1,"")</f>
        <v/>
      </c>
      <c r="P22" t="str">
        <f>IF(VLOOKUP($A22,Tabelle1!$A$4:$BU$73,17,0)&lt;&gt;"",P$1,"")</f>
        <v/>
      </c>
      <c r="Q22" t="str">
        <f>IF(VLOOKUP($A22,Tabelle1!$A$4:$BU$73,18,0)&lt;&gt;"",Q$1,"")</f>
        <v/>
      </c>
      <c r="R22" t="str">
        <f>IF(VLOOKUP($A22,Tabelle1!$A$4:$BU$73,19,0)&lt;&gt;"",R$1,"")</f>
        <v/>
      </c>
      <c r="S22" t="str">
        <f>IF(VLOOKUP($A22,Tabelle1!$A$4:$BU$73,20,0)&lt;&gt;"",S$1,"")</f>
        <v/>
      </c>
      <c r="T22" t="str">
        <f>IF(VLOOKUP($A22,Tabelle1!$A$4:$BU$73,21,0)&lt;&gt;"",T$1,"")</f>
        <v/>
      </c>
      <c r="U22" t="str">
        <f>IF(VLOOKUP($A22,Tabelle1!$A$4:$BU$73,22,0)&lt;&gt;"",U$1,"")</f>
        <v/>
      </c>
      <c r="V22" t="str">
        <f>IF(VLOOKUP($A22,Tabelle1!$A$4:$BU$73,23,0)&lt;&gt;"",V$1,"")</f>
        <v/>
      </c>
      <c r="W22" t="str">
        <f>IF(VLOOKUP($A22,Tabelle1!$A$4:$BU$73,24,0)&lt;&gt;"",W$1,"")</f>
        <v/>
      </c>
      <c r="X22" t="str">
        <f>IF(VLOOKUP($A22,Tabelle1!$A$4:$BU$73,25,0)&lt;&gt;"",X$1,"")</f>
        <v/>
      </c>
      <c r="Y22" t="str">
        <f>IF(VLOOKUP($A22,Tabelle1!$A$4:$BU$73,26,0)&lt;&gt;"",Y$1,"")</f>
        <v/>
      </c>
      <c r="Z22" t="str">
        <f>IF(VLOOKUP($A22,Tabelle1!$A$4:$BU$73,27,0)&lt;&gt;"",Z$1,"")</f>
        <v/>
      </c>
      <c r="AA22" t="str">
        <f>IF(VLOOKUP($A22,Tabelle1!$A$4:$BU$73,28,0)&lt;&gt;"",AA$1,"")</f>
        <v/>
      </c>
      <c r="AB22" t="str">
        <f>IF(VLOOKUP($A22,Tabelle1!$A$4:$BU$73,29,0)&lt;&gt;"",AB$1,"")</f>
        <v/>
      </c>
      <c r="AC22" t="str">
        <f>IF(VLOOKUP($A22,Tabelle1!$A$4:$BU$73,30,0)&lt;&gt;"",AC$1,"")</f>
        <v/>
      </c>
      <c r="AD22" t="str">
        <f>IF(VLOOKUP($A22,Tabelle1!$A$4:$BU$73,31,0)&lt;&gt;"",AD$1,"")</f>
        <v/>
      </c>
      <c r="AE22" t="str">
        <f>IF(VLOOKUP($A22,Tabelle1!$A$4:$BU$73,32,0)&lt;&gt;"",AE$1,"")</f>
        <v>Ölrettich</v>
      </c>
      <c r="AF22" t="str">
        <f>IF(VLOOKUP($A22,Tabelle1!$A$4:$BU$73,33,0)&lt;&gt;"",AF$1,"")</f>
        <v/>
      </c>
      <c r="AG22" t="str">
        <f>IF(VLOOKUP($A22,Tabelle1!$A$4:$BU$73,34,0)&lt;&gt;"",AG$1,"")</f>
        <v/>
      </c>
      <c r="AH22" t="str">
        <f>IF(VLOOKUP($A22,Tabelle1!$A$4:$BU$73,35,0)&lt;&gt;"",AH$1,"")</f>
        <v/>
      </c>
      <c r="AI22" t="str">
        <f>IF(VLOOKUP($A22,Tabelle1!$A$4:$BU$73,36,0)&lt;&gt;"",AI$1,"")</f>
        <v/>
      </c>
      <c r="AJ22" t="str">
        <f>IF(VLOOKUP($A22,Tabelle1!$A$4:$BU$73,37,0)&lt;&gt;"",AJ$1,"")</f>
        <v/>
      </c>
      <c r="AK22" t="str">
        <f>IF(VLOOKUP($A22,Tabelle1!$A$4:$BU$73,38,0)&lt;&gt;"",AK$1,"")</f>
        <v/>
      </c>
      <c r="AL22" t="str">
        <f>IF(VLOOKUP($A22,Tabelle1!$A$4:$BU$73,39,0)&lt;&gt;"",AL$1,"")</f>
        <v/>
      </c>
      <c r="AM22" t="str">
        <f>IF(VLOOKUP($A22,Tabelle1!$A$4:$BU$73,40,0)&lt;&gt;"",AM$1,"")</f>
        <v/>
      </c>
      <c r="AN22" t="str">
        <f>IF(VLOOKUP($A22,Tabelle1!$A$4:$BU$73,41,0)&lt;&gt;"",AN$1,"")</f>
        <v/>
      </c>
      <c r="AO22" t="str">
        <f>IF(VLOOKUP($A22,Tabelle1!$A$4:$BU$73,42,0)&lt;&gt;"",AO$1,"")</f>
        <v/>
      </c>
      <c r="AP22" t="str">
        <f>IF(VLOOKUP($A22,Tabelle1!$A$4:$BU$73,43,0)&lt;&gt;"",AP$1,"")</f>
        <v/>
      </c>
      <c r="AQ22" t="str">
        <f>IF(VLOOKUP($A22,Tabelle1!$A$4:$BU$73,44,0)&lt;&gt;"",AQ$1,"")</f>
        <v/>
      </c>
      <c r="AR22" t="str">
        <f>IF(VLOOKUP($A22,Tabelle1!$A$4:$BU$73,45,0)&lt;&gt;"",AR$1,"")</f>
        <v/>
      </c>
      <c r="AS22" t="str">
        <f>IF(VLOOKUP($A22,Tabelle1!$A$4:$BU$73,46,0)&lt;&gt;"",AS$1,"")</f>
        <v/>
      </c>
      <c r="AT22" t="str">
        <f>IF(VLOOKUP($A22,Tabelle1!$A$4:$BU$73,47,0)&lt;&gt;"",AT$1,"")</f>
        <v/>
      </c>
      <c r="AU22" t="str">
        <f>IF(VLOOKUP($A22,Tabelle1!$A$4:$BU$73,48,0)&lt;&gt;"",AU$1,"")</f>
        <v/>
      </c>
      <c r="AV22" t="str">
        <f>IF(VLOOKUP($A22,Tabelle1!$A$4:$BU$73,49,0)&lt;&gt;"",AV$1,"")</f>
        <v/>
      </c>
      <c r="AW22" t="str">
        <f>IF(VLOOKUP($A22,Tabelle1!$A$4:$BU$73,50,0)&lt;&gt;"",AW$1,"")</f>
        <v/>
      </c>
      <c r="AX22" t="str">
        <f>IF(VLOOKUP($A22,Tabelle1!$A$4:$BU$73,51,0)&lt;&gt;"",AX$1,"")</f>
        <v/>
      </c>
      <c r="AY22" t="str">
        <f>IF(VLOOKUP($A22,Tabelle1!$A$4:$BU$73,52,0)&lt;&gt;"",AY$1,"")</f>
        <v/>
      </c>
      <c r="AZ22" t="str">
        <f>IF(VLOOKUP($A22,Tabelle1!$A$4:$BU$73,53,0)&lt;&gt;"",AZ$1,"")</f>
        <v/>
      </c>
      <c r="BA22" t="str">
        <f>IF(VLOOKUP($A22,Tabelle1!$A$4:$BU$73,54,0)&lt;&gt;"",BA$1,"")</f>
        <v/>
      </c>
      <c r="BB22" t="str">
        <f>IF(VLOOKUP($A22,Tabelle1!$A$4:$BU$73,55,0)&lt;&gt;"",BB$1,"")</f>
        <v/>
      </c>
      <c r="BC22" t="str">
        <f>IF(VLOOKUP($A22,Tabelle1!$A$4:$BU$73,56,0)&lt;&gt;"",BC$1,"")</f>
        <v/>
      </c>
      <c r="BD22" t="str">
        <f>IF(VLOOKUP($A22,Tabelle1!$A$4:$BU$73,57,0)&lt;&gt;"",BD$1,"")</f>
        <v/>
      </c>
      <c r="BE22" t="str">
        <f>IF(VLOOKUP($A22,Tabelle1!$A$4:$BU$73,58,0)&lt;&gt;"",BE$1,"")</f>
        <v/>
      </c>
      <c r="BF22" t="str">
        <f>IF(VLOOKUP($A22,Tabelle1!$A$4:$BU$73,59,0)&lt;&gt;"",BF$1,"")</f>
        <v/>
      </c>
      <c r="BG22" t="str">
        <f>IF(VLOOKUP($A22,Tabelle1!$A$4:$BU$73,60,0)&lt;&gt;"",BG$1,"")</f>
        <v/>
      </c>
      <c r="BH22" t="str">
        <f>IF(VLOOKUP($A22,Tabelle1!$A$4:$BU$73,61,0)&lt;&gt;"",BH$1,"")</f>
        <v/>
      </c>
      <c r="BI22" t="str">
        <f>IF(VLOOKUP($A22,Tabelle1!$A$4:$BU$73,62,0)&lt;&gt;"",BI$1,"")</f>
        <v/>
      </c>
      <c r="BJ22" t="str">
        <f>IF(VLOOKUP($A22,Tabelle1!$A$4:$BU$73,63,0)&lt;&gt;"",BJ$1,"")</f>
        <v/>
      </c>
      <c r="BK22" t="str">
        <f>IF(VLOOKUP($A22,Tabelle1!$A$4:$BU$73,64,0)&lt;&gt;"",BK$1,"")</f>
        <v/>
      </c>
      <c r="BL22" t="str">
        <f>IF(VLOOKUP($A22,Tabelle1!$A$4:$BU$73,65,0)&lt;&gt;"",BL$1,"")</f>
        <v/>
      </c>
      <c r="BM22" t="str">
        <f>IF(VLOOKUP($A22,Tabelle1!$A$4:$BU$73,66,0)&lt;&gt;"",BM$1,"")</f>
        <v/>
      </c>
      <c r="BN22" t="str">
        <f>IF(VLOOKUP($A22,Tabelle1!$A$4:$BU$73,67,0)&lt;&gt;"",BN$1,"")</f>
        <v/>
      </c>
      <c r="BO22" t="str">
        <f>IF(VLOOKUP($A22,Tabelle1!$A$4:$BU$73,68,0)&lt;&gt;"",BO$1,"")</f>
        <v/>
      </c>
      <c r="BP22" t="str">
        <f>IF(VLOOKUP($A22,Tabelle1!$A$4:$BU$73,69,0)&lt;&gt;"",BP$1,"")</f>
        <v/>
      </c>
      <c r="BQ22" t="str">
        <f>IF(VLOOKUP($A22,Tabelle1!$A$4:$BU$73,70,0)&lt;&gt;"",BQ$1,"")</f>
        <v/>
      </c>
      <c r="BR22" t="str">
        <f>IF(VLOOKUP($A22,Tabelle1!$A$4:$BU$73,71,0)&lt;&gt;"",BR$1,"")</f>
        <v/>
      </c>
      <c r="BS22" t="str">
        <f>IF(VLOOKUP($A22,Tabelle1!$A$4:$BU$73,72,0)&lt;&gt;"",BS$1,"")</f>
        <v/>
      </c>
      <c r="BT22" t="str">
        <f>IF(VLOOKUP($A22,Tabelle1!$A$4:$BU$73,73,0)&lt;&gt;"",BT$1,"")</f>
        <v/>
      </c>
    </row>
    <row r="23" spans="1:72" x14ac:dyDescent="0.2">
      <c r="A23" t="s">
        <v>46</v>
      </c>
      <c r="B23">
        <v>20</v>
      </c>
      <c r="C23">
        <v>2.93</v>
      </c>
      <c r="D23" t="str">
        <f>IF(VLOOKUP($A23,Tabelle1!$A$4:$BU$73,5,0)&lt;&gt;"",D$1,"")</f>
        <v/>
      </c>
      <c r="E23" t="str">
        <f>IF(VLOOKUP($A23,Tabelle1!$A$4:$BU$73,6,0)&lt;&gt;"",E$1,"")</f>
        <v/>
      </c>
      <c r="F23" t="str">
        <f>IF(VLOOKUP($A23,Tabelle1!$A$4:$BU$73,7,0)&lt;&gt;"",F$1,"")</f>
        <v>Alexandrinerklee</v>
      </c>
      <c r="G23" t="str">
        <f>IF(VLOOKUP($A23,Tabelle1!$A$4:$BU$73,8,0)&lt;&gt;"",G$1,"")</f>
        <v/>
      </c>
      <c r="H23" t="str">
        <f>IF(VLOOKUP($A23,Tabelle1!$A$4:$BU$73,9,0)&lt;&gt;"",H$1,"")</f>
        <v/>
      </c>
      <c r="I23" t="str">
        <f>IF(VLOOKUP($A23,Tabelle1!$A$4:$BU$73,10,0)&lt;&gt;"",I$1,"")</f>
        <v xml:space="preserve">Buchweizen </v>
      </c>
      <c r="J23" t="str">
        <f>IF(VLOOKUP($A23,Tabelle1!$A$4:$BU$73,11,0)&lt;&gt;"",J$1,"")</f>
        <v/>
      </c>
      <c r="K23" t="str">
        <f>IF(VLOOKUP($A23,Tabelle1!$A$4:$BU$73,12,0)&lt;&gt;"",K$1,"")</f>
        <v/>
      </c>
      <c r="L23" t="str">
        <f>IF(VLOOKUP($A23,Tabelle1!$A$4:$BU$73,13,0)&lt;&gt;"",L$1,"")</f>
        <v/>
      </c>
      <c r="M23" t="str">
        <f>IF(VLOOKUP($A23,Tabelle1!$A$4:$BU$73,14,0)&lt;&gt;"",M$1,"")</f>
        <v/>
      </c>
      <c r="N23" t="str">
        <f>IF(VLOOKUP($A23,Tabelle1!$A$4:$BU$73,15,0)&lt;&gt;"",N$1,"")</f>
        <v/>
      </c>
      <c r="O23" t="str">
        <f>IF(VLOOKUP($A23,Tabelle1!$A$4:$BU$73,16,0)&lt;&gt;"",O$1,"")</f>
        <v/>
      </c>
      <c r="P23" t="str">
        <f>IF(VLOOKUP($A23,Tabelle1!$A$4:$BU$73,17,0)&lt;&gt;"",P$1,"")</f>
        <v/>
      </c>
      <c r="Q23" t="str">
        <f>IF(VLOOKUP($A23,Tabelle1!$A$4:$BU$73,18,0)&lt;&gt;"",Q$1,"")</f>
        <v/>
      </c>
      <c r="R23" t="str">
        <f>IF(VLOOKUP($A23,Tabelle1!$A$4:$BU$73,19,0)&lt;&gt;"",R$1,"")</f>
        <v/>
      </c>
      <c r="S23" t="str">
        <f>IF(VLOOKUP($A23,Tabelle1!$A$4:$BU$73,20,0)&lt;&gt;"",S$1,"")</f>
        <v/>
      </c>
      <c r="T23" t="str">
        <f>IF(VLOOKUP($A23,Tabelle1!$A$4:$BU$73,21,0)&lt;&gt;"",T$1,"")</f>
        <v/>
      </c>
      <c r="U23" t="str">
        <f>IF(VLOOKUP($A23,Tabelle1!$A$4:$BU$73,22,0)&lt;&gt;"",U$1,"")</f>
        <v/>
      </c>
      <c r="V23" t="str">
        <f>IF(VLOOKUP($A23,Tabelle1!$A$4:$BU$73,23,0)&lt;&gt;"",V$1,"")</f>
        <v/>
      </c>
      <c r="W23" t="str">
        <f>IF(VLOOKUP($A23,Tabelle1!$A$4:$BU$73,24,0)&lt;&gt;"",W$1,"")</f>
        <v/>
      </c>
      <c r="X23" t="str">
        <f>IF(VLOOKUP($A23,Tabelle1!$A$4:$BU$73,25,0)&lt;&gt;"",X$1,"")</f>
        <v/>
      </c>
      <c r="Y23" t="str">
        <f>IF(VLOOKUP($A23,Tabelle1!$A$4:$BU$73,26,0)&lt;&gt;"",Y$1,"")</f>
        <v/>
      </c>
      <c r="Z23" t="str">
        <f>IF(VLOOKUP($A23,Tabelle1!$A$4:$BU$73,27,0)&lt;&gt;"",Z$1,"")</f>
        <v/>
      </c>
      <c r="AA23" t="str">
        <f>IF(VLOOKUP($A23,Tabelle1!$A$4:$BU$73,28,0)&lt;&gt;"",AA$1,"")</f>
        <v/>
      </c>
      <c r="AB23" t="str">
        <f>IF(VLOOKUP($A23,Tabelle1!$A$4:$BU$73,29,0)&lt;&gt;"",AB$1,"")</f>
        <v/>
      </c>
      <c r="AC23" t="str">
        <f>IF(VLOOKUP($A23,Tabelle1!$A$4:$BU$73,30,0)&lt;&gt;"",AC$1,"")</f>
        <v/>
      </c>
      <c r="AD23" t="str">
        <f>IF(VLOOKUP($A23,Tabelle1!$A$4:$BU$73,31,0)&lt;&gt;"",AD$1,"")</f>
        <v/>
      </c>
      <c r="AE23" t="str">
        <f>IF(VLOOKUP($A23,Tabelle1!$A$4:$BU$73,32,0)&lt;&gt;"",AE$1,"")</f>
        <v/>
      </c>
      <c r="AF23" t="str">
        <f>IF(VLOOKUP($A23,Tabelle1!$A$4:$BU$73,33,0)&lt;&gt;"",AF$1,"")</f>
        <v/>
      </c>
      <c r="AG23" t="str">
        <f>IF(VLOOKUP($A23,Tabelle1!$A$4:$BU$73,34,0)&lt;&gt;"",AG$1,"")</f>
        <v/>
      </c>
      <c r="AH23" t="str">
        <f>IF(VLOOKUP($A23,Tabelle1!$A$4:$BU$73,35,0)&lt;&gt;"",AH$1,"")</f>
        <v/>
      </c>
      <c r="AI23" t="str">
        <f>IF(VLOOKUP($A23,Tabelle1!$A$4:$BU$73,36,0)&lt;&gt;"",AI$1,"")</f>
        <v/>
      </c>
      <c r="AJ23" t="str">
        <f>IF(VLOOKUP($A23,Tabelle1!$A$4:$BU$73,37,0)&lt;&gt;"",AJ$1,"")</f>
        <v/>
      </c>
      <c r="AK23" t="str">
        <f>IF(VLOOKUP($A23,Tabelle1!$A$4:$BU$73,38,0)&lt;&gt;"",AK$1,"")</f>
        <v/>
      </c>
      <c r="AL23" t="str">
        <f>IF(VLOOKUP($A23,Tabelle1!$A$4:$BU$73,39,0)&lt;&gt;"",AL$1,"")</f>
        <v/>
      </c>
      <c r="AM23" t="str">
        <f>IF(VLOOKUP($A23,Tabelle1!$A$4:$BU$73,40,0)&lt;&gt;"",AM$1,"")</f>
        <v/>
      </c>
      <c r="AN23" t="str">
        <f>IF(VLOOKUP($A23,Tabelle1!$A$4:$BU$73,41,0)&lt;&gt;"",AN$1,"")</f>
        <v/>
      </c>
      <c r="AO23" t="str">
        <f>IF(VLOOKUP($A23,Tabelle1!$A$4:$BU$73,42,0)&lt;&gt;"",AO$1,"")</f>
        <v/>
      </c>
      <c r="AP23" t="str">
        <f>IF(VLOOKUP($A23,Tabelle1!$A$4:$BU$73,43,0)&lt;&gt;"",AP$1,"")</f>
        <v/>
      </c>
      <c r="AQ23" t="str">
        <f>IF(VLOOKUP($A23,Tabelle1!$A$4:$BU$73,44,0)&lt;&gt;"",AQ$1,"")</f>
        <v/>
      </c>
      <c r="AR23" t="str">
        <f>IF(VLOOKUP($A23,Tabelle1!$A$4:$BU$73,45,0)&lt;&gt;"",AR$1,"")</f>
        <v/>
      </c>
      <c r="AS23" t="str">
        <f>IF(VLOOKUP($A23,Tabelle1!$A$4:$BU$73,46,0)&lt;&gt;"",AS$1,"")</f>
        <v>Senf nematodenhemmend / neamtodenresistent</v>
      </c>
      <c r="AT23" t="str">
        <f>IF(VLOOKUP($A23,Tabelle1!$A$4:$BU$73,47,0)&lt;&gt;"",AT$1,"")</f>
        <v/>
      </c>
      <c r="AU23" t="str">
        <f>IF(VLOOKUP($A23,Tabelle1!$A$4:$BU$73,48,0)&lt;&gt;"",AU$1,"")</f>
        <v/>
      </c>
      <c r="AV23" t="str">
        <f>IF(VLOOKUP($A23,Tabelle1!$A$4:$BU$73,49,0)&lt;&gt;"",AV$1,"")</f>
        <v/>
      </c>
      <c r="AW23" t="str">
        <f>IF(VLOOKUP($A23,Tabelle1!$A$4:$BU$73,50,0)&lt;&gt;"",AW$1,"")</f>
        <v/>
      </c>
      <c r="AX23" t="str">
        <f>IF(VLOOKUP($A23,Tabelle1!$A$4:$BU$73,51,0)&lt;&gt;"",AX$1,"")</f>
        <v/>
      </c>
      <c r="AY23" t="str">
        <f>IF(VLOOKUP($A23,Tabelle1!$A$4:$BU$73,52,0)&lt;&gt;"",AY$1,"")</f>
        <v/>
      </c>
      <c r="AZ23" t="str">
        <f>IF(VLOOKUP($A23,Tabelle1!$A$4:$BU$73,53,0)&lt;&gt;"",AZ$1,"")</f>
        <v/>
      </c>
      <c r="BA23" t="str">
        <f>IF(VLOOKUP($A23,Tabelle1!$A$4:$BU$73,54,0)&lt;&gt;"",BA$1,"")</f>
        <v/>
      </c>
      <c r="BB23" t="str">
        <f>IF(VLOOKUP($A23,Tabelle1!$A$4:$BU$73,55,0)&lt;&gt;"",BB$1,"")</f>
        <v/>
      </c>
      <c r="BC23" t="str">
        <f>IF(VLOOKUP($A23,Tabelle1!$A$4:$BU$73,56,0)&lt;&gt;"",BC$1,"")</f>
        <v/>
      </c>
      <c r="BD23" t="str">
        <f>IF(VLOOKUP($A23,Tabelle1!$A$4:$BU$73,57,0)&lt;&gt;"",BD$1,"")</f>
        <v/>
      </c>
      <c r="BE23" t="str">
        <f>IF(VLOOKUP($A23,Tabelle1!$A$4:$BU$73,58,0)&lt;&gt;"",BE$1,"")</f>
        <v/>
      </c>
      <c r="BF23" t="str">
        <f>IF(VLOOKUP($A23,Tabelle1!$A$4:$BU$73,59,0)&lt;&gt;"",BF$1,"")</f>
        <v/>
      </c>
      <c r="BG23" t="str">
        <f>IF(VLOOKUP($A23,Tabelle1!$A$4:$BU$73,60,0)&lt;&gt;"",BG$1,"")</f>
        <v/>
      </c>
      <c r="BH23" t="str">
        <f>IF(VLOOKUP($A23,Tabelle1!$A$4:$BU$73,61,0)&lt;&gt;"",BH$1,"")</f>
        <v/>
      </c>
      <c r="BI23" t="str">
        <f>IF(VLOOKUP($A23,Tabelle1!$A$4:$BU$73,62,0)&lt;&gt;"",BI$1,"")</f>
        <v/>
      </c>
      <c r="BJ23" t="str">
        <f>IF(VLOOKUP($A23,Tabelle1!$A$4:$BU$73,63,0)&lt;&gt;"",BJ$1,"")</f>
        <v/>
      </c>
      <c r="BK23" t="str">
        <f>IF(VLOOKUP($A23,Tabelle1!$A$4:$BU$73,64,0)&lt;&gt;"",BK$1,"")</f>
        <v/>
      </c>
      <c r="BL23" t="str">
        <f>IF(VLOOKUP($A23,Tabelle1!$A$4:$BU$73,65,0)&lt;&gt;"",BL$1,"")</f>
        <v/>
      </c>
      <c r="BM23" t="str">
        <f>IF(VLOOKUP($A23,Tabelle1!$A$4:$BU$73,66,0)&lt;&gt;"",BM$1,"")</f>
        <v/>
      </c>
      <c r="BN23" t="str">
        <f>IF(VLOOKUP($A23,Tabelle1!$A$4:$BU$73,67,0)&lt;&gt;"",BN$1,"")</f>
        <v/>
      </c>
      <c r="BO23" t="str">
        <f>IF(VLOOKUP($A23,Tabelle1!$A$4:$BU$73,68,0)&lt;&gt;"",BO$1,"")</f>
        <v/>
      </c>
      <c r="BP23" t="str">
        <f>IF(VLOOKUP($A23,Tabelle1!$A$4:$BU$73,69,0)&lt;&gt;"",BP$1,"")</f>
        <v/>
      </c>
      <c r="BQ23" t="str">
        <f>IF(VLOOKUP($A23,Tabelle1!$A$4:$BU$73,70,0)&lt;&gt;"",BQ$1,"")</f>
        <v/>
      </c>
      <c r="BR23" t="str">
        <f>IF(VLOOKUP($A23,Tabelle1!$A$4:$BU$73,71,0)&lt;&gt;"",BR$1,"")</f>
        <v/>
      </c>
      <c r="BS23" t="str">
        <f>IF(VLOOKUP($A23,Tabelle1!$A$4:$BU$73,72,0)&lt;&gt;"",BS$1,"")</f>
        <v/>
      </c>
      <c r="BT23" t="str">
        <f>IF(VLOOKUP($A23,Tabelle1!$A$4:$BU$73,73,0)&lt;&gt;"",BT$1,"")</f>
        <v/>
      </c>
    </row>
    <row r="24" spans="1:72" x14ac:dyDescent="0.2">
      <c r="A24" t="s">
        <v>432</v>
      </c>
      <c r="B24">
        <v>20</v>
      </c>
      <c r="C24">
        <v>4.46</v>
      </c>
      <c r="D24" t="str">
        <f>IF(VLOOKUP($A24,Tabelle1!$A$4:$BU$73,5,0)&lt;&gt;"",D$1,"")</f>
        <v/>
      </c>
      <c r="E24" t="str">
        <f>IF(VLOOKUP($A24,Tabelle1!$A$4:$BU$73,6,0)&lt;&gt;"",E$1,"")</f>
        <v/>
      </c>
      <c r="F24" t="str">
        <f>IF(VLOOKUP($A24,Tabelle1!$A$4:$BU$73,7,0)&lt;&gt;"",F$1,"")</f>
        <v>Alexandrinerklee</v>
      </c>
      <c r="G24" t="str">
        <f>IF(VLOOKUP($A24,Tabelle1!$A$4:$BU$73,8,0)&lt;&gt;"",G$1,"")</f>
        <v/>
      </c>
      <c r="H24" t="str">
        <f>IF(VLOOKUP($A24,Tabelle1!$A$4:$BU$73,9,0)&lt;&gt;"",H$1,"")</f>
        <v/>
      </c>
      <c r="I24" t="str">
        <f>IF(VLOOKUP($A24,Tabelle1!$A$4:$BU$73,10,0)&lt;&gt;"",I$1,"")</f>
        <v/>
      </c>
      <c r="J24" t="str">
        <f>IF(VLOOKUP($A24,Tabelle1!$A$4:$BU$73,11,0)&lt;&gt;"",J$1,"")</f>
        <v/>
      </c>
      <c r="K24" t="str">
        <f>IF(VLOOKUP($A24,Tabelle1!$A$4:$BU$73,12,0)&lt;&gt;"",K$1,"")</f>
        <v/>
      </c>
      <c r="L24" t="str">
        <f>IF(VLOOKUP($A24,Tabelle1!$A$4:$BU$73,13,0)&lt;&gt;"",L$1,"")</f>
        <v/>
      </c>
      <c r="M24" t="str">
        <f>IF(VLOOKUP($A24,Tabelle1!$A$4:$BU$73,14,0)&lt;&gt;"",M$1,"")</f>
        <v/>
      </c>
      <c r="N24" t="str">
        <f>IF(VLOOKUP($A24,Tabelle1!$A$4:$BU$73,15,0)&lt;&gt;"",N$1,"")</f>
        <v/>
      </c>
      <c r="O24" t="str">
        <f>IF(VLOOKUP($A24,Tabelle1!$A$4:$BU$73,16,0)&lt;&gt;"",O$1,"")</f>
        <v/>
      </c>
      <c r="P24" t="str">
        <f>IF(VLOOKUP($A24,Tabelle1!$A$4:$BU$73,17,0)&lt;&gt;"",P$1,"")</f>
        <v/>
      </c>
      <c r="Q24" t="str">
        <f>IF(VLOOKUP($A24,Tabelle1!$A$4:$BU$73,18,0)&lt;&gt;"",Q$1,"")</f>
        <v/>
      </c>
      <c r="R24" t="str">
        <f>IF(VLOOKUP($A24,Tabelle1!$A$4:$BU$73,19,0)&lt;&gt;"",R$1,"")</f>
        <v/>
      </c>
      <c r="S24" t="str">
        <f>IF(VLOOKUP($A24,Tabelle1!$A$4:$BU$73,20,0)&lt;&gt;"",S$1,"")</f>
        <v/>
      </c>
      <c r="T24" t="str">
        <f>IF(VLOOKUP($A24,Tabelle1!$A$4:$BU$73,21,0)&lt;&gt;"",T$1,"")</f>
        <v/>
      </c>
      <c r="U24" t="str">
        <f>IF(VLOOKUP($A24,Tabelle1!$A$4:$BU$73,22,0)&lt;&gt;"",U$1,"")</f>
        <v/>
      </c>
      <c r="V24" t="str">
        <f>IF(VLOOKUP($A24,Tabelle1!$A$4:$BU$73,23,0)&lt;&gt;"",V$1,"")</f>
        <v>Kresse</v>
      </c>
      <c r="W24" t="str">
        <f>IF(VLOOKUP($A24,Tabelle1!$A$4:$BU$73,24,0)&lt;&gt;"",W$1,"")</f>
        <v/>
      </c>
      <c r="X24" t="str">
        <f>IF(VLOOKUP($A24,Tabelle1!$A$4:$BU$73,25,0)&lt;&gt;"",X$1,"")</f>
        <v/>
      </c>
      <c r="Y24" t="str">
        <f>IF(VLOOKUP($A24,Tabelle1!$A$4:$BU$73,26,0)&lt;&gt;"",Y$1,"")</f>
        <v>Leindotter</v>
      </c>
      <c r="Z24" t="str">
        <f>IF(VLOOKUP($A24,Tabelle1!$A$4:$BU$73,27,0)&lt;&gt;"",Z$1,"")</f>
        <v/>
      </c>
      <c r="AA24" t="str">
        <f>IF(VLOOKUP($A24,Tabelle1!$A$4:$BU$73,28,0)&lt;&gt;"",AA$1,"")</f>
        <v/>
      </c>
      <c r="AB24" t="str">
        <f>IF(VLOOKUP($A24,Tabelle1!$A$4:$BU$73,29,0)&lt;&gt;"",AB$1,"")</f>
        <v/>
      </c>
      <c r="AC24" t="str">
        <f>IF(VLOOKUP($A24,Tabelle1!$A$4:$BU$73,30,0)&lt;&gt;"",AC$1,"")</f>
        <v/>
      </c>
      <c r="AD24" t="str">
        <f>IF(VLOOKUP($A24,Tabelle1!$A$4:$BU$73,31,0)&lt;&gt;"",AD$1,"")</f>
        <v/>
      </c>
      <c r="AE24" t="str">
        <f>IF(VLOOKUP($A24,Tabelle1!$A$4:$BU$73,32,0)&lt;&gt;"",AE$1,"")</f>
        <v>Ölrettich</v>
      </c>
      <c r="AF24" t="str">
        <f>IF(VLOOKUP($A24,Tabelle1!$A$4:$BU$73,33,0)&lt;&gt;"",AF$1,"")</f>
        <v/>
      </c>
      <c r="AG24" t="str">
        <f>IF(VLOOKUP($A24,Tabelle1!$A$4:$BU$73,34,0)&lt;&gt;"",AG$1,"")</f>
        <v/>
      </c>
      <c r="AH24" t="str">
        <f>IF(VLOOKUP($A24,Tabelle1!$A$4:$BU$73,35,0)&lt;&gt;"",AH$1,"")</f>
        <v>Phazelie</v>
      </c>
      <c r="AI24" t="str">
        <f>IF(VLOOKUP($A24,Tabelle1!$A$4:$BU$73,36,0)&lt;&gt;"",AI$1,"")</f>
        <v/>
      </c>
      <c r="AJ24" t="str">
        <f>IF(VLOOKUP($A24,Tabelle1!$A$4:$BU$73,37,0)&lt;&gt;"",AJ$1,"")</f>
        <v/>
      </c>
      <c r="AK24" t="str">
        <f>IF(VLOOKUP($A24,Tabelle1!$A$4:$BU$73,38,0)&lt;&gt;"",AK$1,"")</f>
        <v/>
      </c>
      <c r="AL24" t="str">
        <f>IF(VLOOKUP($A24,Tabelle1!$A$4:$BU$73,39,0)&lt;&gt;"",AL$1,"")</f>
        <v/>
      </c>
      <c r="AM24" t="str">
        <f>IF(VLOOKUP($A24,Tabelle1!$A$4:$BU$73,40,0)&lt;&gt;"",AM$1,"")</f>
        <v>Saatwicke / Sommerwicke</v>
      </c>
      <c r="AN24" t="str">
        <f>IF(VLOOKUP($A24,Tabelle1!$A$4:$BU$73,41,0)&lt;&gt;"",AN$1,"")</f>
        <v/>
      </c>
      <c r="AO24" t="str">
        <f>IF(VLOOKUP($A24,Tabelle1!$A$4:$BU$73,42,0)&lt;&gt;"",AO$1,"")</f>
        <v/>
      </c>
      <c r="AP24" t="str">
        <f>IF(VLOOKUP($A24,Tabelle1!$A$4:$BU$73,43,0)&lt;&gt;"",AP$1,"")</f>
        <v/>
      </c>
      <c r="AQ24" t="str">
        <f>IF(VLOOKUP($A24,Tabelle1!$A$4:$BU$73,44,0)&lt;&gt;"",AQ$1,"")</f>
        <v/>
      </c>
      <c r="AR24" t="str">
        <f>IF(VLOOKUP($A24,Tabelle1!$A$4:$BU$73,45,0)&lt;&gt;"",AR$1,"")</f>
        <v>Senf</v>
      </c>
      <c r="AS24" t="str">
        <f>IF(VLOOKUP($A24,Tabelle1!$A$4:$BU$73,46,0)&lt;&gt;"",AS$1,"")</f>
        <v/>
      </c>
      <c r="AT24" t="str">
        <f>IF(VLOOKUP($A24,Tabelle1!$A$4:$BU$73,47,0)&lt;&gt;"",AT$1,"")</f>
        <v/>
      </c>
      <c r="AU24" t="str">
        <f>IF(VLOOKUP($A24,Tabelle1!$A$4:$BU$73,48,0)&lt;&gt;"",AU$1,"")</f>
        <v/>
      </c>
      <c r="AV24" t="str">
        <f>IF(VLOOKUP($A24,Tabelle1!$A$4:$BU$73,49,0)&lt;&gt;"",AV$1,"")</f>
        <v/>
      </c>
      <c r="AW24" t="str">
        <f>IF(VLOOKUP($A24,Tabelle1!$A$4:$BU$73,50,0)&lt;&gt;"",AW$1,"")</f>
        <v/>
      </c>
      <c r="AX24" t="str">
        <f>IF(VLOOKUP($A24,Tabelle1!$A$4:$BU$73,51,0)&lt;&gt;"",AX$1,"")</f>
        <v/>
      </c>
      <c r="AY24" t="str">
        <f>IF(VLOOKUP($A24,Tabelle1!$A$4:$BU$73,52,0)&lt;&gt;"",AY$1,"")</f>
        <v/>
      </c>
      <c r="AZ24" t="str">
        <f>IF(VLOOKUP($A24,Tabelle1!$A$4:$BU$73,53,0)&lt;&gt;"",AZ$1,"")</f>
        <v/>
      </c>
      <c r="BA24" t="str">
        <f>IF(VLOOKUP($A24,Tabelle1!$A$4:$BU$73,54,0)&lt;&gt;"",BA$1,"")</f>
        <v/>
      </c>
      <c r="BB24" t="str">
        <f>IF(VLOOKUP($A24,Tabelle1!$A$4:$BU$73,55,0)&lt;&gt;"",BB$1,"")</f>
        <v/>
      </c>
      <c r="BC24" t="str">
        <f>IF(VLOOKUP($A24,Tabelle1!$A$4:$BU$73,56,0)&lt;&gt;"",BC$1,"")</f>
        <v/>
      </c>
      <c r="BD24" t="str">
        <f>IF(VLOOKUP($A24,Tabelle1!$A$4:$BU$73,57,0)&lt;&gt;"",BD$1,"")</f>
        <v/>
      </c>
      <c r="BE24" t="str">
        <f>IF(VLOOKUP($A24,Tabelle1!$A$4:$BU$73,58,0)&lt;&gt;"",BE$1,"")</f>
        <v/>
      </c>
      <c r="BF24" t="str">
        <f>IF(VLOOKUP($A24,Tabelle1!$A$4:$BU$73,59,0)&lt;&gt;"",BF$1,"")</f>
        <v/>
      </c>
      <c r="BG24" t="str">
        <f>IF(VLOOKUP($A24,Tabelle1!$A$4:$BU$73,60,0)&lt;&gt;"",BG$1,"")</f>
        <v/>
      </c>
      <c r="BH24" t="str">
        <f>IF(VLOOKUP($A24,Tabelle1!$A$4:$BU$73,61,0)&lt;&gt;"",BH$1,"")</f>
        <v/>
      </c>
      <c r="BI24" t="str">
        <f>IF(VLOOKUP($A24,Tabelle1!$A$4:$BU$73,62,0)&lt;&gt;"",BI$1,"")</f>
        <v/>
      </c>
      <c r="BJ24" t="str">
        <f>IF(VLOOKUP($A24,Tabelle1!$A$4:$BU$73,63,0)&lt;&gt;"",BJ$1,"")</f>
        <v/>
      </c>
      <c r="BK24" t="str">
        <f>IF(VLOOKUP($A24,Tabelle1!$A$4:$BU$73,64,0)&lt;&gt;"",BK$1,"")</f>
        <v/>
      </c>
      <c r="BL24" t="str">
        <f>IF(VLOOKUP($A24,Tabelle1!$A$4:$BU$73,65,0)&lt;&gt;"",BL$1,"")</f>
        <v/>
      </c>
      <c r="BM24" t="str">
        <f>IF(VLOOKUP($A24,Tabelle1!$A$4:$BU$73,66,0)&lt;&gt;"",BM$1,"")</f>
        <v/>
      </c>
      <c r="BN24" t="str">
        <f>IF(VLOOKUP($A24,Tabelle1!$A$4:$BU$73,67,0)&lt;&gt;"",BN$1,"")</f>
        <v/>
      </c>
      <c r="BO24" t="str">
        <f>IF(VLOOKUP($A24,Tabelle1!$A$4:$BU$73,68,0)&lt;&gt;"",BO$1,"")</f>
        <v/>
      </c>
      <c r="BP24" t="str">
        <f>IF(VLOOKUP($A24,Tabelle1!$A$4:$BU$73,69,0)&lt;&gt;"",BP$1,"")</f>
        <v/>
      </c>
      <c r="BQ24" t="str">
        <f>IF(VLOOKUP($A24,Tabelle1!$A$4:$BU$73,70,0)&lt;&gt;"",BQ$1,"")</f>
        <v/>
      </c>
      <c r="BR24" t="str">
        <f>IF(VLOOKUP($A24,Tabelle1!$A$4:$BU$73,71,0)&lt;&gt;"",BR$1,"")</f>
        <v/>
      </c>
      <c r="BS24" t="str">
        <f>IF(VLOOKUP($A24,Tabelle1!$A$4:$BU$73,72,0)&lt;&gt;"",BS$1,"")</f>
        <v/>
      </c>
      <c r="BT24" t="str">
        <f>IF(VLOOKUP($A24,Tabelle1!$A$4:$BU$73,73,0)&lt;&gt;"",BT$1,"")</f>
        <v/>
      </c>
    </row>
    <row r="25" spans="1:72" x14ac:dyDescent="0.2">
      <c r="A25" t="s">
        <v>935</v>
      </c>
      <c r="B25">
        <v>20</v>
      </c>
      <c r="C25">
        <v>6.22</v>
      </c>
      <c r="D25" t="str">
        <f>IF(VLOOKUP($A25,Tabelle1!$A$4:$BU$73,5,0)&lt;&gt;"",D$1,"")</f>
        <v/>
      </c>
      <c r="E25" t="str">
        <f>IF(VLOOKUP($A25,Tabelle1!$A$4:$BU$73,6,0)&lt;&gt;"",E$1,"")</f>
        <v/>
      </c>
      <c r="F25" t="str">
        <f>IF(VLOOKUP($A25,Tabelle1!$A$4:$BU$73,7,0)&lt;&gt;"",F$1,"")</f>
        <v>Alexandrinerklee</v>
      </c>
      <c r="G25" t="str">
        <f>IF(VLOOKUP($A25,Tabelle1!$A$4:$BU$73,8,0)&lt;&gt;"",G$1,"")</f>
        <v/>
      </c>
      <c r="H25" t="str">
        <f>IF(VLOOKUP($A25,Tabelle1!$A$4:$BU$73,9,0)&lt;&gt;"",H$1,"")</f>
        <v/>
      </c>
      <c r="I25" t="str">
        <f>IF(VLOOKUP($A25,Tabelle1!$A$4:$BU$73,10,0)&lt;&gt;"",I$1,"")</f>
        <v/>
      </c>
      <c r="J25" t="str">
        <f>IF(VLOOKUP($A25,Tabelle1!$A$4:$BU$73,11,0)&lt;&gt;"",J$1,"")</f>
        <v/>
      </c>
      <c r="K25" t="str">
        <f>IF(VLOOKUP($A25,Tabelle1!$A$4:$BU$73,12,0)&lt;&gt;"",K$1,"")</f>
        <v/>
      </c>
      <c r="L25" t="str">
        <f>IF(VLOOKUP($A25,Tabelle1!$A$4:$BU$73,13,0)&lt;&gt;"",L$1,"")</f>
        <v/>
      </c>
      <c r="M25" t="str">
        <f>IF(VLOOKUP($A25,Tabelle1!$A$4:$BU$73,14,0)&lt;&gt;"",M$1,"")</f>
        <v/>
      </c>
      <c r="N25" t="str">
        <f>IF(VLOOKUP($A25,Tabelle1!$A$4:$BU$73,15,0)&lt;&gt;"",N$1,"")</f>
        <v/>
      </c>
      <c r="O25" t="str">
        <f>IF(VLOOKUP($A25,Tabelle1!$A$4:$BU$73,16,0)&lt;&gt;"",O$1,"")</f>
        <v/>
      </c>
      <c r="P25" t="str">
        <f>IF(VLOOKUP($A25,Tabelle1!$A$4:$BU$73,17,0)&lt;&gt;"",P$1,"")</f>
        <v/>
      </c>
      <c r="Q25" t="str">
        <f>IF(VLOOKUP($A25,Tabelle1!$A$4:$BU$73,18,0)&lt;&gt;"",Q$1,"")</f>
        <v/>
      </c>
      <c r="R25" t="str">
        <f>IF(VLOOKUP($A25,Tabelle1!$A$4:$BU$73,19,0)&lt;&gt;"",R$1,"")</f>
        <v/>
      </c>
      <c r="S25" t="str">
        <f>IF(VLOOKUP($A25,Tabelle1!$A$4:$BU$73,20,0)&lt;&gt;"",S$1,"")</f>
        <v/>
      </c>
      <c r="T25" t="str">
        <f>IF(VLOOKUP($A25,Tabelle1!$A$4:$BU$73,21,0)&lt;&gt;"",T$1,"")</f>
        <v/>
      </c>
      <c r="U25" t="str">
        <f>IF(VLOOKUP($A25,Tabelle1!$A$4:$BU$73,22,0)&lt;&gt;"",U$1,"")</f>
        <v/>
      </c>
      <c r="V25" t="str">
        <f>IF(VLOOKUP($A25,Tabelle1!$A$4:$BU$73,23,0)&lt;&gt;"",V$1,"")</f>
        <v>Kresse</v>
      </c>
      <c r="W25" t="str">
        <f>IF(VLOOKUP($A25,Tabelle1!$A$4:$BU$73,24,0)&lt;&gt;"",W$1,"")</f>
        <v/>
      </c>
      <c r="X25" t="str">
        <f>IF(VLOOKUP($A25,Tabelle1!$A$4:$BU$73,25,0)&lt;&gt;"",X$1,"")</f>
        <v/>
      </c>
      <c r="Y25" t="str">
        <f>IF(VLOOKUP($A25,Tabelle1!$A$4:$BU$73,26,0)&lt;&gt;"",Y$1,"")</f>
        <v>Leindotter</v>
      </c>
      <c r="Z25" t="str">
        <f>IF(VLOOKUP($A25,Tabelle1!$A$4:$BU$73,27,0)&lt;&gt;"",Z$1,"")</f>
        <v/>
      </c>
      <c r="AA25" t="str">
        <f>IF(VLOOKUP($A25,Tabelle1!$A$4:$BU$73,28,0)&lt;&gt;"",AA$1,"")</f>
        <v/>
      </c>
      <c r="AB25" t="str">
        <f>IF(VLOOKUP($A25,Tabelle1!$A$4:$BU$73,29,0)&lt;&gt;"",AB$1,"")</f>
        <v/>
      </c>
      <c r="AC25" t="str">
        <f>IF(VLOOKUP($A25,Tabelle1!$A$4:$BU$73,30,0)&lt;&gt;"",AC$1,"")</f>
        <v/>
      </c>
      <c r="AD25" t="str">
        <f>IF(VLOOKUP($A25,Tabelle1!$A$4:$BU$73,31,0)&lt;&gt;"",AD$1,"")</f>
        <v/>
      </c>
      <c r="AE25" t="str">
        <f>IF(VLOOKUP($A25,Tabelle1!$A$4:$BU$73,32,0)&lt;&gt;"",AE$1,"")</f>
        <v>Ölrettich</v>
      </c>
      <c r="AF25" t="str">
        <f>IF(VLOOKUP($A25,Tabelle1!$A$4:$BU$73,33,0)&lt;&gt;"",AF$1,"")</f>
        <v/>
      </c>
      <c r="AG25" t="str">
        <f>IF(VLOOKUP($A25,Tabelle1!$A$4:$BU$73,34,0)&lt;&gt;"",AG$1,"")</f>
        <v/>
      </c>
      <c r="AH25" t="str">
        <f>IF(VLOOKUP($A25,Tabelle1!$A$4:$BU$73,35,0)&lt;&gt;"",AH$1,"")</f>
        <v>Phazelie</v>
      </c>
      <c r="AI25" t="str">
        <f>IF(VLOOKUP($A25,Tabelle1!$A$4:$BU$73,36,0)&lt;&gt;"",AI$1,"")</f>
        <v/>
      </c>
      <c r="AJ25" t="str">
        <f>IF(VLOOKUP($A25,Tabelle1!$A$4:$BU$73,37,0)&lt;&gt;"",AJ$1,"")</f>
        <v/>
      </c>
      <c r="AK25" t="str">
        <f>IF(VLOOKUP($A25,Tabelle1!$A$4:$BU$73,38,0)&lt;&gt;"",AK$1,"")</f>
        <v/>
      </c>
      <c r="AL25" t="str">
        <f>IF(VLOOKUP($A25,Tabelle1!$A$4:$BU$73,39,0)&lt;&gt;"",AL$1,"")</f>
        <v/>
      </c>
      <c r="AM25" t="str">
        <f>IF(VLOOKUP($A25,Tabelle1!$A$4:$BU$73,40,0)&lt;&gt;"",AM$1,"")</f>
        <v>Saatwicke / Sommerwicke</v>
      </c>
      <c r="AN25" t="str">
        <f>IF(VLOOKUP($A25,Tabelle1!$A$4:$BU$73,41,0)&lt;&gt;"",AN$1,"")</f>
        <v/>
      </c>
      <c r="AO25" t="str">
        <f>IF(VLOOKUP($A25,Tabelle1!$A$4:$BU$73,42,0)&lt;&gt;"",AO$1,"")</f>
        <v/>
      </c>
      <c r="AP25" t="str">
        <f>IF(VLOOKUP($A25,Tabelle1!$A$4:$BU$73,43,0)&lt;&gt;"",AP$1,"")</f>
        <v/>
      </c>
      <c r="AQ25" t="str">
        <f>IF(VLOOKUP($A25,Tabelle1!$A$4:$BU$73,44,0)&lt;&gt;"",AQ$1,"")</f>
        <v/>
      </c>
      <c r="AR25" t="str">
        <f>IF(VLOOKUP($A25,Tabelle1!$A$4:$BU$73,45,0)&lt;&gt;"",AR$1,"")</f>
        <v>Senf</v>
      </c>
      <c r="AS25" t="str">
        <f>IF(VLOOKUP($A25,Tabelle1!$A$4:$BU$73,46,0)&lt;&gt;"",AS$1,"")</f>
        <v/>
      </c>
      <c r="AT25" t="str">
        <f>IF(VLOOKUP($A25,Tabelle1!$A$4:$BU$73,47,0)&lt;&gt;"",AT$1,"")</f>
        <v/>
      </c>
      <c r="AU25" t="str">
        <f>IF(VLOOKUP($A25,Tabelle1!$A$4:$BU$73,48,0)&lt;&gt;"",AU$1,"")</f>
        <v/>
      </c>
      <c r="AV25" t="str">
        <f>IF(VLOOKUP($A25,Tabelle1!$A$4:$BU$73,49,0)&lt;&gt;"",AV$1,"")</f>
        <v/>
      </c>
      <c r="AW25" t="str">
        <f>IF(VLOOKUP($A25,Tabelle1!$A$4:$BU$73,50,0)&lt;&gt;"",AW$1,"")</f>
        <v/>
      </c>
      <c r="AX25" t="str">
        <f>IF(VLOOKUP($A25,Tabelle1!$A$4:$BU$73,51,0)&lt;&gt;"",AX$1,"")</f>
        <v/>
      </c>
      <c r="AY25" t="str">
        <f>IF(VLOOKUP($A25,Tabelle1!$A$4:$BU$73,52,0)&lt;&gt;"",AY$1,"")</f>
        <v/>
      </c>
      <c r="AZ25" t="str">
        <f>IF(VLOOKUP($A25,Tabelle1!$A$4:$BU$73,53,0)&lt;&gt;"",AZ$1,"")</f>
        <v/>
      </c>
      <c r="BA25" t="str">
        <f>IF(VLOOKUP($A25,Tabelle1!$A$4:$BU$73,54,0)&lt;&gt;"",BA$1,"")</f>
        <v/>
      </c>
      <c r="BB25" t="str">
        <f>IF(VLOOKUP($A25,Tabelle1!$A$4:$BU$73,55,0)&lt;&gt;"",BB$1,"")</f>
        <v/>
      </c>
      <c r="BC25" t="str">
        <f>IF(VLOOKUP($A25,Tabelle1!$A$4:$BU$73,56,0)&lt;&gt;"",BC$1,"")</f>
        <v/>
      </c>
      <c r="BD25" t="str">
        <f>IF(VLOOKUP($A25,Tabelle1!$A$4:$BU$73,57,0)&lt;&gt;"",BD$1,"")</f>
        <v/>
      </c>
      <c r="BE25" t="str">
        <f>IF(VLOOKUP($A25,Tabelle1!$A$4:$BU$73,58,0)&lt;&gt;"",BE$1,"")</f>
        <v/>
      </c>
      <c r="BF25" t="str">
        <f>IF(VLOOKUP($A25,Tabelle1!$A$4:$BU$73,59,0)&lt;&gt;"",BF$1,"")</f>
        <v/>
      </c>
      <c r="BG25" t="str">
        <f>IF(VLOOKUP($A25,Tabelle1!$A$4:$BU$73,60,0)&lt;&gt;"",BG$1,"")</f>
        <v/>
      </c>
      <c r="BH25" t="str">
        <f>IF(VLOOKUP($A25,Tabelle1!$A$4:$BU$73,61,0)&lt;&gt;"",BH$1,"")</f>
        <v/>
      </c>
      <c r="BI25" t="str">
        <f>IF(VLOOKUP($A25,Tabelle1!$A$4:$BU$73,62,0)&lt;&gt;"",BI$1,"")</f>
        <v/>
      </c>
      <c r="BJ25" t="str">
        <f>IF(VLOOKUP($A25,Tabelle1!$A$4:$BU$73,63,0)&lt;&gt;"",BJ$1,"")</f>
        <v/>
      </c>
      <c r="BK25" t="str">
        <f>IF(VLOOKUP($A25,Tabelle1!$A$4:$BU$73,64,0)&lt;&gt;"",BK$1,"")</f>
        <v/>
      </c>
      <c r="BL25" t="str">
        <f>IF(VLOOKUP($A25,Tabelle1!$A$4:$BU$73,65,0)&lt;&gt;"",BL$1,"")</f>
        <v/>
      </c>
      <c r="BM25" t="str">
        <f>IF(VLOOKUP($A25,Tabelle1!$A$4:$BU$73,66,0)&lt;&gt;"",BM$1,"")</f>
        <v/>
      </c>
      <c r="BN25" t="str">
        <f>IF(VLOOKUP($A25,Tabelle1!$A$4:$BU$73,67,0)&lt;&gt;"",BN$1,"")</f>
        <v/>
      </c>
      <c r="BO25" t="str">
        <f>IF(VLOOKUP($A25,Tabelle1!$A$4:$BU$73,68,0)&lt;&gt;"",BO$1,"")</f>
        <v/>
      </c>
      <c r="BP25" t="str">
        <f>IF(VLOOKUP($A25,Tabelle1!$A$4:$BU$73,69,0)&lt;&gt;"",BP$1,"")</f>
        <v/>
      </c>
      <c r="BQ25" t="str">
        <f>IF(VLOOKUP($A25,Tabelle1!$A$4:$BU$73,70,0)&lt;&gt;"",BQ$1,"")</f>
        <v/>
      </c>
      <c r="BR25" t="str">
        <f>IF(VLOOKUP($A25,Tabelle1!$A$4:$BU$73,71,0)&lt;&gt;"",BR$1,"")</f>
        <v/>
      </c>
      <c r="BS25" t="str">
        <f>IF(VLOOKUP($A25,Tabelle1!$A$4:$BU$73,72,0)&lt;&gt;"",BS$1,"")</f>
        <v/>
      </c>
      <c r="BT25" t="str">
        <f>IF(VLOOKUP($A25,Tabelle1!$A$4:$BU$73,73,0)&lt;&gt;"",BT$1,"")</f>
        <v/>
      </c>
    </row>
    <row r="26" spans="1:72" x14ac:dyDescent="0.2">
      <c r="A26" t="s">
        <v>739</v>
      </c>
      <c r="B26">
        <v>23</v>
      </c>
      <c r="C26">
        <v>3.83</v>
      </c>
      <c r="D26" t="str">
        <f>IF(VLOOKUP($A26,Tabelle1!$A$4:$BU$73,5,0)&lt;&gt;"",D$1,"")</f>
        <v/>
      </c>
      <c r="E26" t="str">
        <f>IF(VLOOKUP($A26,Tabelle1!$A$4:$BU$73,6,0)&lt;&gt;"",E$1,"")</f>
        <v/>
      </c>
      <c r="F26" t="str">
        <f>IF(VLOOKUP($A26,Tabelle1!$A$4:$BU$73,7,0)&lt;&gt;"",F$1,"")</f>
        <v/>
      </c>
      <c r="G26" t="str">
        <f>IF(VLOOKUP($A26,Tabelle1!$A$4:$BU$73,8,0)&lt;&gt;"",G$1,"")</f>
        <v/>
      </c>
      <c r="H26" t="str">
        <f>IF(VLOOKUP($A26,Tabelle1!$A$4:$BU$73,9,0)&lt;&gt;"",H$1,"")</f>
        <v/>
      </c>
      <c r="I26" t="str">
        <f>IF(VLOOKUP($A26,Tabelle1!$A$4:$BU$73,10,0)&lt;&gt;"",I$1,"")</f>
        <v/>
      </c>
      <c r="J26" t="str">
        <f>IF(VLOOKUP($A26,Tabelle1!$A$4:$BU$73,11,0)&lt;&gt;"",J$1,"")</f>
        <v/>
      </c>
      <c r="K26" t="str">
        <f>IF(VLOOKUP($A26,Tabelle1!$A$4:$BU$73,12,0)&lt;&gt;"",K$1,"")</f>
        <v/>
      </c>
      <c r="L26" t="str">
        <f>IF(VLOOKUP($A26,Tabelle1!$A$4:$BU$73,13,0)&lt;&gt;"",L$1,"")</f>
        <v/>
      </c>
      <c r="M26" t="str">
        <f>IF(VLOOKUP($A26,Tabelle1!$A$4:$BU$73,14,0)&lt;&gt;"",M$1,"")</f>
        <v/>
      </c>
      <c r="N26" t="str">
        <f>IF(VLOOKUP($A26,Tabelle1!$A$4:$BU$73,15,0)&lt;&gt;"",N$1,"")</f>
        <v/>
      </c>
      <c r="O26" t="str">
        <f>IF(VLOOKUP($A26,Tabelle1!$A$4:$BU$73,16,0)&lt;&gt;"",O$1,"")</f>
        <v/>
      </c>
      <c r="P26" t="str">
        <f>IF(VLOOKUP($A26,Tabelle1!$A$4:$BU$73,17,0)&lt;&gt;"",P$1,"")</f>
        <v/>
      </c>
      <c r="Q26" t="str">
        <f>IF(VLOOKUP($A26,Tabelle1!$A$4:$BU$73,18,0)&lt;&gt;"",Q$1,"")</f>
        <v/>
      </c>
      <c r="R26" t="str">
        <f>IF(VLOOKUP($A26,Tabelle1!$A$4:$BU$73,19,0)&lt;&gt;"",R$1,"")</f>
        <v/>
      </c>
      <c r="S26" t="str">
        <f>IF(VLOOKUP($A26,Tabelle1!$A$4:$BU$73,20,0)&lt;&gt;"",S$1,"")</f>
        <v/>
      </c>
      <c r="T26" t="str">
        <f>IF(VLOOKUP($A26,Tabelle1!$A$4:$BU$73,21,0)&lt;&gt;"",T$1,"")</f>
        <v/>
      </c>
      <c r="U26" t="str">
        <f>IF(VLOOKUP($A26,Tabelle1!$A$4:$BU$73,22,0)&lt;&gt;"",U$1,"")</f>
        <v/>
      </c>
      <c r="V26" t="str">
        <f>IF(VLOOKUP($A26,Tabelle1!$A$4:$BU$73,23,0)&lt;&gt;"",V$1,"")</f>
        <v/>
      </c>
      <c r="W26" t="str">
        <f>IF(VLOOKUP($A26,Tabelle1!$A$4:$BU$73,24,0)&lt;&gt;"",W$1,"")</f>
        <v/>
      </c>
      <c r="X26" t="str">
        <f>IF(VLOOKUP($A26,Tabelle1!$A$4:$BU$73,25,0)&lt;&gt;"",X$1,"")</f>
        <v/>
      </c>
      <c r="Y26" t="str">
        <f>IF(VLOOKUP($A26,Tabelle1!$A$4:$BU$73,26,0)&lt;&gt;"",Y$1,"")</f>
        <v/>
      </c>
      <c r="Z26" t="str">
        <f>IF(VLOOKUP($A26,Tabelle1!$A$4:$BU$73,27,0)&lt;&gt;"",Z$1,"")</f>
        <v/>
      </c>
      <c r="AA26" t="str">
        <f>IF(VLOOKUP($A26,Tabelle1!$A$4:$BU$73,28,0)&lt;&gt;"",AA$1,"")</f>
        <v/>
      </c>
      <c r="AB26" t="str">
        <f>IF(VLOOKUP($A26,Tabelle1!$A$4:$BU$73,29,0)&lt;&gt;"",AB$1,"")</f>
        <v/>
      </c>
      <c r="AC26" t="str">
        <f>IF(VLOOKUP($A26,Tabelle1!$A$4:$BU$73,30,0)&lt;&gt;"",AC$1,"")</f>
        <v/>
      </c>
      <c r="AD26" t="str">
        <f>IF(VLOOKUP($A26,Tabelle1!$A$4:$BU$73,31,0)&lt;&gt;"",AD$1,"")</f>
        <v>Öllein</v>
      </c>
      <c r="AE26" t="str">
        <f>IF(VLOOKUP($A26,Tabelle1!$A$4:$BU$73,32,0)&lt;&gt;"",AE$1,"")</f>
        <v/>
      </c>
      <c r="AF26" t="str">
        <f>IF(VLOOKUP($A26,Tabelle1!$A$4:$BU$73,33,0)&lt;&gt;"",AF$1,"")</f>
        <v>Ölrettich nematodenhemmend</v>
      </c>
      <c r="AG26" t="str">
        <f>IF(VLOOKUP($A26,Tabelle1!$A$4:$BU$73,34,0)&lt;&gt;"",AG$1,"")</f>
        <v/>
      </c>
      <c r="AH26" t="str">
        <f>IF(VLOOKUP($A26,Tabelle1!$A$4:$BU$73,35,0)&lt;&gt;"",AH$1,"")</f>
        <v>Phazelie</v>
      </c>
      <c r="AI26" t="str">
        <f>IF(VLOOKUP($A26,Tabelle1!$A$4:$BU$73,36,0)&lt;&gt;"",AI$1,"")</f>
        <v/>
      </c>
      <c r="AJ26" t="str">
        <f>IF(VLOOKUP($A26,Tabelle1!$A$4:$BU$73,37,0)&lt;&gt;"",AJ$1,"")</f>
        <v/>
      </c>
      <c r="AK26" t="str">
        <f>IF(VLOOKUP($A26,Tabelle1!$A$4:$BU$73,38,0)&lt;&gt;"",AK$1,"")</f>
        <v/>
      </c>
      <c r="AL26" t="str">
        <f>IF(VLOOKUP($A26,Tabelle1!$A$4:$BU$73,39,0)&lt;&gt;"",AL$1,"")</f>
        <v/>
      </c>
      <c r="AM26" t="str">
        <f>IF(VLOOKUP($A26,Tabelle1!$A$4:$BU$73,40,0)&lt;&gt;"",AM$1,"")</f>
        <v/>
      </c>
      <c r="AN26" t="str">
        <f>IF(VLOOKUP($A26,Tabelle1!$A$4:$BU$73,41,0)&lt;&gt;"",AN$1,"")</f>
        <v/>
      </c>
      <c r="AO26" t="str">
        <f>IF(VLOOKUP($A26,Tabelle1!$A$4:$BU$73,42,0)&lt;&gt;"",AO$1,"")</f>
        <v>Sandhafer / Rauhafer</v>
      </c>
      <c r="AP26" t="str">
        <f>IF(VLOOKUP($A26,Tabelle1!$A$4:$BU$73,43,0)&lt;&gt;"",AP$1,"")</f>
        <v/>
      </c>
      <c r="AQ26" t="str">
        <f>IF(VLOOKUP($A26,Tabelle1!$A$4:$BU$73,44,0)&lt;&gt;"",AQ$1,"")</f>
        <v/>
      </c>
      <c r="AR26" t="str">
        <f>IF(VLOOKUP($A26,Tabelle1!$A$4:$BU$73,45,0)&lt;&gt;"",AR$1,"")</f>
        <v/>
      </c>
      <c r="AS26" t="str">
        <f>IF(VLOOKUP($A26,Tabelle1!$A$4:$BU$73,46,0)&lt;&gt;"",AS$1,"")</f>
        <v/>
      </c>
      <c r="AT26" t="str">
        <f>IF(VLOOKUP($A26,Tabelle1!$A$4:$BU$73,47,0)&lt;&gt;"",AT$1,"")</f>
        <v/>
      </c>
      <c r="AU26" t="str">
        <f>IF(VLOOKUP($A26,Tabelle1!$A$4:$BU$73,48,0)&lt;&gt;"",AU$1,"")</f>
        <v/>
      </c>
      <c r="AV26" t="str">
        <f>IF(VLOOKUP($A26,Tabelle1!$A$4:$BU$73,49,0)&lt;&gt;"",AV$1,"")</f>
        <v/>
      </c>
      <c r="AW26" t="str">
        <f>IF(VLOOKUP($A26,Tabelle1!$A$4:$BU$73,50,0)&lt;&gt;"",AW$1,"")</f>
        <v/>
      </c>
      <c r="AX26" t="str">
        <f>IF(VLOOKUP($A26,Tabelle1!$A$4:$BU$73,51,0)&lt;&gt;"",AX$1,"")</f>
        <v/>
      </c>
      <c r="AY26" t="str">
        <f>IF(VLOOKUP($A26,Tabelle1!$A$4:$BU$73,52,0)&lt;&gt;"",AY$1,"")</f>
        <v/>
      </c>
      <c r="AZ26" t="str">
        <f>IF(VLOOKUP($A26,Tabelle1!$A$4:$BU$73,53,0)&lt;&gt;"",AZ$1,"")</f>
        <v/>
      </c>
      <c r="BA26" t="str">
        <f>IF(VLOOKUP($A26,Tabelle1!$A$4:$BU$73,54,0)&lt;&gt;"",BA$1,"")</f>
        <v/>
      </c>
      <c r="BB26" t="str">
        <f>IF(VLOOKUP($A26,Tabelle1!$A$4:$BU$73,55,0)&lt;&gt;"",BB$1,"")</f>
        <v/>
      </c>
      <c r="BC26" t="str">
        <f>IF(VLOOKUP($A26,Tabelle1!$A$4:$BU$73,56,0)&lt;&gt;"",BC$1,"")</f>
        <v/>
      </c>
      <c r="BD26" t="str">
        <f>IF(VLOOKUP($A26,Tabelle1!$A$4:$BU$73,57,0)&lt;&gt;"",BD$1,"")</f>
        <v/>
      </c>
      <c r="BE26" t="str">
        <f>IF(VLOOKUP($A26,Tabelle1!$A$4:$BU$73,58,0)&lt;&gt;"",BE$1,"")</f>
        <v/>
      </c>
      <c r="BF26" t="str">
        <f>IF(VLOOKUP($A26,Tabelle1!$A$4:$BU$73,59,0)&lt;&gt;"",BF$1,"")</f>
        <v/>
      </c>
      <c r="BG26" t="str">
        <f>IF(VLOOKUP($A26,Tabelle1!$A$4:$BU$73,60,0)&lt;&gt;"",BG$1,"")</f>
        <v/>
      </c>
      <c r="BH26" t="str">
        <f>IF(VLOOKUP($A26,Tabelle1!$A$4:$BU$73,61,0)&lt;&gt;"",BH$1,"")</f>
        <v/>
      </c>
      <c r="BI26" t="str">
        <f>IF(VLOOKUP($A26,Tabelle1!$A$4:$BU$73,62,0)&lt;&gt;"",BI$1,"")</f>
        <v/>
      </c>
      <c r="BJ26" t="str">
        <f>IF(VLOOKUP($A26,Tabelle1!$A$4:$BU$73,63,0)&lt;&gt;"",BJ$1,"")</f>
        <v/>
      </c>
      <c r="BK26" t="str">
        <f>IF(VLOOKUP($A26,Tabelle1!$A$4:$BU$73,64,0)&lt;&gt;"",BK$1,"")</f>
        <v/>
      </c>
      <c r="BL26" t="str">
        <f>IF(VLOOKUP($A26,Tabelle1!$A$4:$BU$73,65,0)&lt;&gt;"",BL$1,"")</f>
        <v/>
      </c>
      <c r="BM26" t="str">
        <f>IF(VLOOKUP($A26,Tabelle1!$A$4:$BU$73,66,0)&lt;&gt;"",BM$1,"")</f>
        <v/>
      </c>
      <c r="BN26" t="str">
        <f>IF(VLOOKUP($A26,Tabelle1!$A$4:$BU$73,67,0)&lt;&gt;"",BN$1,"")</f>
        <v/>
      </c>
      <c r="BO26" t="str">
        <f>IF(VLOOKUP($A26,Tabelle1!$A$4:$BU$73,68,0)&lt;&gt;"",BO$1,"")</f>
        <v/>
      </c>
      <c r="BP26" t="str">
        <f>IF(VLOOKUP($A26,Tabelle1!$A$4:$BU$73,69,0)&lt;&gt;"",BP$1,"")</f>
        <v/>
      </c>
      <c r="BQ26" t="str">
        <f>IF(VLOOKUP($A26,Tabelle1!$A$4:$BU$73,70,0)&lt;&gt;"",BQ$1,"")</f>
        <v/>
      </c>
      <c r="BR26" t="str">
        <f>IF(VLOOKUP($A26,Tabelle1!$A$4:$BU$73,71,0)&lt;&gt;"",BR$1,"")</f>
        <v>Süßlupine</v>
      </c>
      <c r="BS26" t="str">
        <f>IF(VLOOKUP($A26,Tabelle1!$A$4:$BU$73,72,0)&lt;&gt;"",BS$1,"")</f>
        <v/>
      </c>
      <c r="BT26" t="str">
        <f>IF(VLOOKUP($A26,Tabelle1!$A$4:$BU$73,73,0)&lt;&gt;"",BT$1,"")</f>
        <v/>
      </c>
    </row>
    <row r="27" spans="1:72" x14ac:dyDescent="0.2">
      <c r="A27" t="s">
        <v>81</v>
      </c>
      <c r="B27">
        <v>30</v>
      </c>
      <c r="C27">
        <v>5.3</v>
      </c>
      <c r="D27" t="str">
        <f>IF(VLOOKUP($A27,Tabelle1!$A$4:$BU$73,5,0)&lt;&gt;"",D$1,"")</f>
        <v/>
      </c>
      <c r="E27" t="str">
        <f>IF(VLOOKUP($A27,Tabelle1!$A$4:$BU$73,6,0)&lt;&gt;"",E$1,"")</f>
        <v/>
      </c>
      <c r="F27" t="str">
        <f>IF(VLOOKUP($A27,Tabelle1!$A$4:$BU$73,7,0)&lt;&gt;"",F$1,"")</f>
        <v/>
      </c>
      <c r="G27" t="str">
        <f>IF(VLOOKUP($A27,Tabelle1!$A$4:$BU$73,8,0)&lt;&gt;"",G$1,"")</f>
        <v/>
      </c>
      <c r="H27" t="str">
        <f>IF(VLOOKUP($A27,Tabelle1!$A$4:$BU$73,9,0)&lt;&gt;"",H$1,"")</f>
        <v/>
      </c>
      <c r="I27" t="str">
        <f>IF(VLOOKUP($A27,Tabelle1!$A$4:$BU$73,10,0)&lt;&gt;"",I$1,"")</f>
        <v xml:space="preserve">Buchweizen </v>
      </c>
      <c r="J27" t="str">
        <f>IF(VLOOKUP($A27,Tabelle1!$A$4:$BU$73,11,0)&lt;&gt;"",J$1,"")</f>
        <v/>
      </c>
      <c r="K27" t="str">
        <f>IF(VLOOKUP($A27,Tabelle1!$A$4:$BU$73,12,0)&lt;&gt;"",K$1,"")</f>
        <v/>
      </c>
      <c r="L27" t="str">
        <f>IF(VLOOKUP($A27,Tabelle1!$A$4:$BU$73,13,0)&lt;&gt;"",L$1,"")</f>
        <v/>
      </c>
      <c r="M27" t="str">
        <f>IF(VLOOKUP($A27,Tabelle1!$A$4:$BU$73,14,0)&lt;&gt;"",M$1,"")</f>
        <v/>
      </c>
      <c r="N27" t="str">
        <f>IF(VLOOKUP($A27,Tabelle1!$A$4:$BU$73,15,0)&lt;&gt;"",N$1,"")</f>
        <v/>
      </c>
      <c r="O27" t="str">
        <f>IF(VLOOKUP($A27,Tabelle1!$A$4:$BU$73,16,0)&lt;&gt;"",O$1,"")</f>
        <v/>
      </c>
      <c r="P27" t="str">
        <f>IF(VLOOKUP($A27,Tabelle1!$A$4:$BU$73,17,0)&lt;&gt;"",P$1,"")</f>
        <v/>
      </c>
      <c r="Q27" t="str">
        <f>IF(VLOOKUP($A27,Tabelle1!$A$4:$BU$73,18,0)&lt;&gt;"",Q$1,"")</f>
        <v/>
      </c>
      <c r="R27" t="str">
        <f>IF(VLOOKUP($A27,Tabelle1!$A$4:$BU$73,19,0)&lt;&gt;"",R$1,"")</f>
        <v/>
      </c>
      <c r="S27" t="str">
        <f>IF(VLOOKUP($A27,Tabelle1!$A$4:$BU$73,20,0)&lt;&gt;"",S$1,"")</f>
        <v/>
      </c>
      <c r="T27" t="str">
        <f>IF(VLOOKUP($A27,Tabelle1!$A$4:$BU$73,21,0)&lt;&gt;"",T$1,"")</f>
        <v>Inkarnatklee</v>
      </c>
      <c r="U27" t="str">
        <f>IF(VLOOKUP($A27,Tabelle1!$A$4:$BU$73,22,0)&lt;&gt;"",U$1,"")</f>
        <v/>
      </c>
      <c r="V27" t="str">
        <f>IF(VLOOKUP($A27,Tabelle1!$A$4:$BU$73,23,0)&lt;&gt;"",V$1,"")</f>
        <v/>
      </c>
      <c r="W27" t="str">
        <f>IF(VLOOKUP($A27,Tabelle1!$A$4:$BU$73,24,0)&lt;&gt;"",W$1,"")</f>
        <v/>
      </c>
      <c r="X27" t="str">
        <f>IF(VLOOKUP($A27,Tabelle1!$A$4:$BU$73,25,0)&lt;&gt;"",X$1,"")</f>
        <v/>
      </c>
      <c r="Y27" t="str">
        <f>IF(VLOOKUP($A27,Tabelle1!$A$4:$BU$73,26,0)&lt;&gt;"",Y$1,"")</f>
        <v/>
      </c>
      <c r="Z27" t="str">
        <f>IF(VLOOKUP($A27,Tabelle1!$A$4:$BU$73,27,0)&lt;&gt;"",Z$1,"")</f>
        <v/>
      </c>
      <c r="AA27" t="str">
        <f>IF(VLOOKUP($A27,Tabelle1!$A$4:$BU$73,28,0)&lt;&gt;"",AA$1,"")</f>
        <v/>
      </c>
      <c r="AB27" t="str">
        <f>IF(VLOOKUP($A27,Tabelle1!$A$4:$BU$73,29,0)&lt;&gt;"",AB$1,"")</f>
        <v/>
      </c>
      <c r="AC27" t="str">
        <f>IF(VLOOKUP($A27,Tabelle1!$A$4:$BU$73,30,0)&lt;&gt;"",AC$1,"")</f>
        <v/>
      </c>
      <c r="AD27" t="str">
        <f>IF(VLOOKUP($A27,Tabelle1!$A$4:$BU$73,31,0)&lt;&gt;"",AD$1,"")</f>
        <v/>
      </c>
      <c r="AE27" t="str">
        <f>IF(VLOOKUP($A27,Tabelle1!$A$4:$BU$73,32,0)&lt;&gt;"",AE$1,"")</f>
        <v>Ölrettich</v>
      </c>
      <c r="AF27" t="str">
        <f>IF(VLOOKUP($A27,Tabelle1!$A$4:$BU$73,33,0)&lt;&gt;"",AF$1,"")</f>
        <v/>
      </c>
      <c r="AG27" t="str">
        <f>IF(VLOOKUP($A27,Tabelle1!$A$4:$BU$73,34,0)&lt;&gt;"",AG$1,"")</f>
        <v/>
      </c>
      <c r="AH27" t="str">
        <f>IF(VLOOKUP($A27,Tabelle1!$A$4:$BU$73,35,0)&lt;&gt;"",AH$1,"")</f>
        <v>Phazelie</v>
      </c>
      <c r="AI27" t="str">
        <f>IF(VLOOKUP($A27,Tabelle1!$A$4:$BU$73,36,0)&lt;&gt;"",AI$1,"")</f>
        <v/>
      </c>
      <c r="AJ27" t="str">
        <f>IF(VLOOKUP($A27,Tabelle1!$A$4:$BU$73,37,0)&lt;&gt;"",AJ$1,"")</f>
        <v/>
      </c>
      <c r="AK27" t="str">
        <f>IF(VLOOKUP($A27,Tabelle1!$A$4:$BU$73,38,0)&lt;&gt;"",AK$1,"")</f>
        <v/>
      </c>
      <c r="AL27" t="str">
        <f>IF(VLOOKUP($A27,Tabelle1!$A$4:$BU$73,39,0)&lt;&gt;"",AL$1,"")</f>
        <v/>
      </c>
      <c r="AM27" t="str">
        <f>IF(VLOOKUP($A27,Tabelle1!$A$4:$BU$73,40,0)&lt;&gt;"",AM$1,"")</f>
        <v/>
      </c>
      <c r="AN27" t="str">
        <f>IF(VLOOKUP($A27,Tabelle1!$A$4:$BU$73,41,0)&lt;&gt;"",AN$1,"")</f>
        <v/>
      </c>
      <c r="AO27" t="str">
        <f>IF(VLOOKUP($A27,Tabelle1!$A$4:$BU$73,42,0)&lt;&gt;"",AO$1,"")</f>
        <v/>
      </c>
      <c r="AP27" t="str">
        <f>IF(VLOOKUP($A27,Tabelle1!$A$4:$BU$73,43,0)&lt;&gt;"",AP$1,"")</f>
        <v/>
      </c>
      <c r="AQ27" t="str">
        <f>IF(VLOOKUP($A27,Tabelle1!$A$4:$BU$73,44,0)&lt;&gt;"",AQ$1,"")</f>
        <v/>
      </c>
      <c r="AR27" t="str">
        <f>IF(VLOOKUP($A27,Tabelle1!$A$4:$BU$73,45,0)&lt;&gt;"",AR$1,"")</f>
        <v/>
      </c>
      <c r="AS27" t="str">
        <f>IF(VLOOKUP($A27,Tabelle1!$A$4:$BU$73,46,0)&lt;&gt;"",AS$1,"")</f>
        <v/>
      </c>
      <c r="AT27" t="str">
        <f>IF(VLOOKUP($A27,Tabelle1!$A$4:$BU$73,47,0)&lt;&gt;"",AT$1,"")</f>
        <v/>
      </c>
      <c r="AU27" t="str">
        <f>IF(VLOOKUP($A27,Tabelle1!$A$4:$BU$73,48,0)&lt;&gt;"",AU$1,"")</f>
        <v/>
      </c>
      <c r="AV27" t="str">
        <f>IF(VLOOKUP($A27,Tabelle1!$A$4:$BU$73,49,0)&lt;&gt;"",AV$1,"")</f>
        <v/>
      </c>
      <c r="AW27" t="str">
        <f>IF(VLOOKUP($A27,Tabelle1!$A$4:$BU$73,50,0)&lt;&gt;"",AW$1,"")</f>
        <v/>
      </c>
      <c r="AX27" t="str">
        <f>IF(VLOOKUP($A27,Tabelle1!$A$4:$BU$73,51,0)&lt;&gt;"",AX$1,"")</f>
        <v/>
      </c>
      <c r="AY27" t="str">
        <f>IF(VLOOKUP($A27,Tabelle1!$A$4:$BU$73,52,0)&lt;&gt;"",AY$1,"")</f>
        <v/>
      </c>
      <c r="AZ27" t="str">
        <f>IF(VLOOKUP($A27,Tabelle1!$A$4:$BU$73,53,0)&lt;&gt;"",AZ$1,"")</f>
        <v>Weißklee</v>
      </c>
      <c r="BA27" t="str">
        <f>IF(VLOOKUP($A27,Tabelle1!$A$4:$BU$73,54,0)&lt;&gt;"",BA$1,"")</f>
        <v/>
      </c>
      <c r="BB27" t="str">
        <f>IF(VLOOKUP($A27,Tabelle1!$A$4:$BU$73,55,0)&lt;&gt;"",BB$1,"")</f>
        <v/>
      </c>
      <c r="BC27" t="str">
        <f>IF(VLOOKUP($A27,Tabelle1!$A$4:$BU$73,56,0)&lt;&gt;"",BC$1,"")</f>
        <v/>
      </c>
      <c r="BD27" t="str">
        <f>IF(VLOOKUP($A27,Tabelle1!$A$4:$BU$73,57,0)&lt;&gt;"",BD$1,"")</f>
        <v>Winterwicke Pannonisch</v>
      </c>
      <c r="BE27" t="str">
        <f>IF(VLOOKUP($A27,Tabelle1!$A$4:$BU$73,58,0)&lt;&gt;"",BE$1,"")</f>
        <v/>
      </c>
      <c r="BF27" t="str">
        <f>IF(VLOOKUP($A27,Tabelle1!$A$4:$BU$73,59,0)&lt;&gt;"",BF$1,"")</f>
        <v/>
      </c>
      <c r="BG27" t="str">
        <f>IF(VLOOKUP($A27,Tabelle1!$A$4:$BU$73,60,0)&lt;&gt;"",BG$1,"")</f>
        <v/>
      </c>
      <c r="BH27" t="str">
        <f>IF(VLOOKUP($A27,Tabelle1!$A$4:$BU$73,61,0)&lt;&gt;"",BH$1,"")</f>
        <v>Seradella</v>
      </c>
      <c r="BI27" t="str">
        <f>IF(VLOOKUP($A27,Tabelle1!$A$4:$BU$73,62,0)&lt;&gt;"",BI$1,"")</f>
        <v/>
      </c>
      <c r="BJ27" t="str">
        <f>IF(VLOOKUP($A27,Tabelle1!$A$4:$BU$73,63,0)&lt;&gt;"",BJ$1,"")</f>
        <v/>
      </c>
      <c r="BK27" t="str">
        <f>IF(VLOOKUP($A27,Tabelle1!$A$4:$BU$73,64,0)&lt;&gt;"",BK$1,"")</f>
        <v/>
      </c>
      <c r="BL27" t="str">
        <f>IF(VLOOKUP($A27,Tabelle1!$A$4:$BU$73,65,0)&lt;&gt;"",BL$1,"")</f>
        <v/>
      </c>
      <c r="BM27" t="str">
        <f>IF(VLOOKUP($A27,Tabelle1!$A$4:$BU$73,66,0)&lt;&gt;"",BM$1,"")</f>
        <v/>
      </c>
      <c r="BN27" t="str">
        <f>IF(VLOOKUP($A27,Tabelle1!$A$4:$BU$73,67,0)&lt;&gt;"",BN$1,"")</f>
        <v/>
      </c>
      <c r="BO27" t="str">
        <f>IF(VLOOKUP($A27,Tabelle1!$A$4:$BU$73,68,0)&lt;&gt;"",BO$1,"")</f>
        <v/>
      </c>
      <c r="BP27" t="str">
        <f>IF(VLOOKUP($A27,Tabelle1!$A$4:$BU$73,69,0)&lt;&gt;"",BP$1,"")</f>
        <v/>
      </c>
      <c r="BQ27" t="str">
        <f>IF(VLOOKUP($A27,Tabelle1!$A$4:$BU$73,70,0)&lt;&gt;"",BQ$1,"")</f>
        <v/>
      </c>
      <c r="BR27" t="str">
        <f>IF(VLOOKUP($A27,Tabelle1!$A$4:$BU$73,71,0)&lt;&gt;"",BR$1,"")</f>
        <v/>
      </c>
      <c r="BS27" t="str">
        <f>IF(VLOOKUP($A27,Tabelle1!$A$4:$BU$73,72,0)&lt;&gt;"",BS$1,"")</f>
        <v/>
      </c>
      <c r="BT27" t="str">
        <f>IF(VLOOKUP($A27,Tabelle1!$A$4:$BU$73,73,0)&lt;&gt;"",BT$1,"")</f>
        <v/>
      </c>
    </row>
    <row r="28" spans="1:72" x14ac:dyDescent="0.2">
      <c r="A28" t="s">
        <v>936</v>
      </c>
      <c r="B28">
        <v>30</v>
      </c>
      <c r="C28">
        <v>7.46</v>
      </c>
      <c r="D28" t="str">
        <f>IF(VLOOKUP($A28,Tabelle1!$A$4:$BU$73,5,0)&lt;&gt;"",D$1,"")</f>
        <v/>
      </c>
      <c r="E28" t="str">
        <f>IF(VLOOKUP($A28,Tabelle1!$A$4:$BU$73,6,0)&lt;&gt;"",E$1,"")</f>
        <v/>
      </c>
      <c r="F28" t="str">
        <f>IF(VLOOKUP($A28,Tabelle1!$A$4:$BU$73,7,0)&lt;&gt;"",F$1,"")</f>
        <v/>
      </c>
      <c r="G28" t="str">
        <f>IF(VLOOKUP($A28,Tabelle1!$A$4:$BU$73,8,0)&lt;&gt;"",G$1,"")</f>
        <v/>
      </c>
      <c r="H28" t="str">
        <f>IF(VLOOKUP($A28,Tabelle1!$A$4:$BU$73,9,0)&lt;&gt;"",H$1,"")</f>
        <v/>
      </c>
      <c r="I28" t="str">
        <f>IF(VLOOKUP($A28,Tabelle1!$A$4:$BU$73,10,0)&lt;&gt;"",I$1,"")</f>
        <v xml:space="preserve">Buchweizen </v>
      </c>
      <c r="J28" t="str">
        <f>IF(VLOOKUP($A28,Tabelle1!$A$4:$BU$73,11,0)&lt;&gt;"",J$1,"")</f>
        <v/>
      </c>
      <c r="K28" t="str">
        <f>IF(VLOOKUP($A28,Tabelle1!$A$4:$BU$73,12,0)&lt;&gt;"",K$1,"")</f>
        <v/>
      </c>
      <c r="L28" t="str">
        <f>IF(VLOOKUP($A28,Tabelle1!$A$4:$BU$73,13,0)&lt;&gt;"",L$1,"")</f>
        <v/>
      </c>
      <c r="M28" t="str">
        <f>IF(VLOOKUP($A28,Tabelle1!$A$4:$BU$73,14,0)&lt;&gt;"",M$1,"")</f>
        <v/>
      </c>
      <c r="N28" t="str">
        <f>IF(VLOOKUP($A28,Tabelle1!$A$4:$BU$73,15,0)&lt;&gt;"",N$1,"")</f>
        <v/>
      </c>
      <c r="O28" t="str">
        <f>IF(VLOOKUP($A28,Tabelle1!$A$4:$BU$73,16,0)&lt;&gt;"",O$1,"")</f>
        <v/>
      </c>
      <c r="P28" t="str">
        <f>IF(VLOOKUP($A28,Tabelle1!$A$4:$BU$73,17,0)&lt;&gt;"",P$1,"")</f>
        <v/>
      </c>
      <c r="Q28" t="str">
        <f>IF(VLOOKUP($A28,Tabelle1!$A$4:$BU$73,18,0)&lt;&gt;"",Q$1,"")</f>
        <v/>
      </c>
      <c r="R28" t="str">
        <f>IF(VLOOKUP($A28,Tabelle1!$A$4:$BU$73,19,0)&lt;&gt;"",R$1,"")</f>
        <v/>
      </c>
      <c r="S28" t="str">
        <f>IF(VLOOKUP($A28,Tabelle1!$A$4:$BU$73,20,0)&lt;&gt;"",S$1,"")</f>
        <v/>
      </c>
      <c r="T28" t="str">
        <f>IF(VLOOKUP($A28,Tabelle1!$A$4:$BU$73,21,0)&lt;&gt;"",T$1,"")</f>
        <v>Inkarnatklee</v>
      </c>
      <c r="U28" t="str">
        <f>IF(VLOOKUP($A28,Tabelle1!$A$4:$BU$73,22,0)&lt;&gt;"",U$1,"")</f>
        <v/>
      </c>
      <c r="V28" t="str">
        <f>IF(VLOOKUP($A28,Tabelle1!$A$4:$BU$73,23,0)&lt;&gt;"",V$1,"")</f>
        <v/>
      </c>
      <c r="W28" t="str">
        <f>IF(VLOOKUP($A28,Tabelle1!$A$4:$BU$73,24,0)&lt;&gt;"",W$1,"")</f>
        <v/>
      </c>
      <c r="X28" t="str">
        <f>IF(VLOOKUP($A28,Tabelle1!$A$4:$BU$73,25,0)&lt;&gt;"",X$1,"")</f>
        <v/>
      </c>
      <c r="Y28" t="str">
        <f>IF(VLOOKUP($A28,Tabelle1!$A$4:$BU$73,26,0)&lt;&gt;"",Y$1,"")</f>
        <v/>
      </c>
      <c r="Z28" t="str">
        <f>IF(VLOOKUP($A28,Tabelle1!$A$4:$BU$73,27,0)&lt;&gt;"",Z$1,"")</f>
        <v/>
      </c>
      <c r="AA28" t="str">
        <f>IF(VLOOKUP($A28,Tabelle1!$A$4:$BU$73,28,0)&lt;&gt;"",AA$1,"")</f>
        <v/>
      </c>
      <c r="AB28" t="str">
        <f>IF(VLOOKUP($A28,Tabelle1!$A$4:$BU$73,29,0)&lt;&gt;"",AB$1,"")</f>
        <v/>
      </c>
      <c r="AC28" t="str">
        <f>IF(VLOOKUP($A28,Tabelle1!$A$4:$BU$73,30,0)&lt;&gt;"",AC$1,"")</f>
        <v/>
      </c>
      <c r="AD28" t="str">
        <f>IF(VLOOKUP($A28,Tabelle1!$A$4:$BU$73,31,0)&lt;&gt;"",AD$1,"")</f>
        <v/>
      </c>
      <c r="AE28" t="str">
        <f>IF(VLOOKUP($A28,Tabelle1!$A$4:$BU$73,32,0)&lt;&gt;"",AE$1,"")</f>
        <v>Ölrettich</v>
      </c>
      <c r="AF28" t="str">
        <f>IF(VLOOKUP($A28,Tabelle1!$A$4:$BU$73,33,0)&lt;&gt;"",AF$1,"")</f>
        <v/>
      </c>
      <c r="AG28" t="str">
        <f>IF(VLOOKUP($A28,Tabelle1!$A$4:$BU$73,34,0)&lt;&gt;"",AG$1,"")</f>
        <v/>
      </c>
      <c r="AH28" t="str">
        <f>IF(VLOOKUP($A28,Tabelle1!$A$4:$BU$73,35,0)&lt;&gt;"",AH$1,"")</f>
        <v>Phazelie</v>
      </c>
      <c r="AI28" t="str">
        <f>IF(VLOOKUP($A28,Tabelle1!$A$4:$BU$73,36,0)&lt;&gt;"",AI$1,"")</f>
        <v/>
      </c>
      <c r="AJ28" t="str">
        <f>IF(VLOOKUP($A28,Tabelle1!$A$4:$BU$73,37,0)&lt;&gt;"",AJ$1,"")</f>
        <v/>
      </c>
      <c r="AK28" t="str">
        <f>IF(VLOOKUP($A28,Tabelle1!$A$4:$BU$73,38,0)&lt;&gt;"",AK$1,"")</f>
        <v/>
      </c>
      <c r="AL28" t="str">
        <f>IF(VLOOKUP($A28,Tabelle1!$A$4:$BU$73,39,0)&lt;&gt;"",AL$1,"")</f>
        <v/>
      </c>
      <c r="AM28" t="str">
        <f>IF(VLOOKUP($A28,Tabelle1!$A$4:$BU$73,40,0)&lt;&gt;"",AM$1,"")</f>
        <v/>
      </c>
      <c r="AN28" t="str">
        <f>IF(VLOOKUP($A28,Tabelle1!$A$4:$BU$73,41,0)&lt;&gt;"",AN$1,"")</f>
        <v/>
      </c>
      <c r="AO28" t="str">
        <f>IF(VLOOKUP($A28,Tabelle1!$A$4:$BU$73,42,0)&lt;&gt;"",AO$1,"")</f>
        <v/>
      </c>
      <c r="AP28" t="str">
        <f>IF(VLOOKUP($A28,Tabelle1!$A$4:$BU$73,43,0)&lt;&gt;"",AP$1,"")</f>
        <v/>
      </c>
      <c r="AQ28" t="str">
        <f>IF(VLOOKUP($A28,Tabelle1!$A$4:$BU$73,44,0)&lt;&gt;"",AQ$1,"")</f>
        <v/>
      </c>
      <c r="AR28" t="str">
        <f>IF(VLOOKUP($A28,Tabelle1!$A$4:$BU$73,45,0)&lt;&gt;"",AR$1,"")</f>
        <v/>
      </c>
      <c r="AS28" t="str">
        <f>IF(VLOOKUP($A28,Tabelle1!$A$4:$BU$73,46,0)&lt;&gt;"",AS$1,"")</f>
        <v/>
      </c>
      <c r="AT28" t="str">
        <f>IF(VLOOKUP($A28,Tabelle1!$A$4:$BU$73,47,0)&lt;&gt;"",AT$1,"")</f>
        <v/>
      </c>
      <c r="AU28" t="str">
        <f>IF(VLOOKUP($A28,Tabelle1!$A$4:$BU$73,48,0)&lt;&gt;"",AU$1,"")</f>
        <v/>
      </c>
      <c r="AV28" t="str">
        <f>IF(VLOOKUP($A28,Tabelle1!$A$4:$BU$73,49,0)&lt;&gt;"",AV$1,"")</f>
        <v/>
      </c>
      <c r="AW28" t="str">
        <f>IF(VLOOKUP($A28,Tabelle1!$A$4:$BU$73,50,0)&lt;&gt;"",AW$1,"")</f>
        <v/>
      </c>
      <c r="AX28" t="str">
        <f>IF(VLOOKUP($A28,Tabelle1!$A$4:$BU$73,51,0)&lt;&gt;"",AX$1,"")</f>
        <v/>
      </c>
      <c r="AY28" t="str">
        <f>IF(VLOOKUP($A28,Tabelle1!$A$4:$BU$73,52,0)&lt;&gt;"",AY$1,"")</f>
        <v/>
      </c>
      <c r="AZ28" t="str">
        <f>IF(VLOOKUP($A28,Tabelle1!$A$4:$BU$73,53,0)&lt;&gt;"",AZ$1,"")</f>
        <v>Weißklee</v>
      </c>
      <c r="BA28" t="str">
        <f>IF(VLOOKUP($A28,Tabelle1!$A$4:$BU$73,54,0)&lt;&gt;"",BA$1,"")</f>
        <v/>
      </c>
      <c r="BB28" t="str">
        <f>IF(VLOOKUP($A28,Tabelle1!$A$4:$BU$73,55,0)&lt;&gt;"",BB$1,"")</f>
        <v/>
      </c>
      <c r="BC28" t="str">
        <f>IF(VLOOKUP($A28,Tabelle1!$A$4:$BU$73,56,0)&lt;&gt;"",BC$1,"")</f>
        <v/>
      </c>
      <c r="BD28" t="str">
        <f>IF(VLOOKUP($A28,Tabelle1!$A$4:$BU$73,57,0)&lt;&gt;"",BD$1,"")</f>
        <v>Winterwicke Pannonisch</v>
      </c>
      <c r="BE28" t="str">
        <f>IF(VLOOKUP($A28,Tabelle1!$A$4:$BU$73,58,0)&lt;&gt;"",BE$1,"")</f>
        <v/>
      </c>
      <c r="BF28" t="str">
        <f>IF(VLOOKUP($A28,Tabelle1!$A$4:$BU$73,59,0)&lt;&gt;"",BF$1,"")</f>
        <v/>
      </c>
      <c r="BG28" t="str">
        <f>IF(VLOOKUP($A28,Tabelle1!$A$4:$BU$73,60,0)&lt;&gt;"",BG$1,"")</f>
        <v/>
      </c>
      <c r="BH28" t="str">
        <f>IF(VLOOKUP($A28,Tabelle1!$A$4:$BU$73,61,0)&lt;&gt;"",BH$1,"")</f>
        <v>Seradella</v>
      </c>
      <c r="BI28" t="str">
        <f>IF(VLOOKUP($A28,Tabelle1!$A$4:$BU$73,62,0)&lt;&gt;"",BI$1,"")</f>
        <v/>
      </c>
      <c r="BJ28" t="str">
        <f>IF(VLOOKUP($A28,Tabelle1!$A$4:$BU$73,63,0)&lt;&gt;"",BJ$1,"")</f>
        <v/>
      </c>
      <c r="BK28" t="str">
        <f>IF(VLOOKUP($A28,Tabelle1!$A$4:$BU$73,64,0)&lt;&gt;"",BK$1,"")</f>
        <v/>
      </c>
      <c r="BL28" t="str">
        <f>IF(VLOOKUP($A28,Tabelle1!$A$4:$BU$73,65,0)&lt;&gt;"",BL$1,"")</f>
        <v/>
      </c>
      <c r="BM28" t="str">
        <f>IF(VLOOKUP($A28,Tabelle1!$A$4:$BU$73,66,0)&lt;&gt;"",BM$1,"")</f>
        <v/>
      </c>
      <c r="BN28" t="str">
        <f>IF(VLOOKUP($A28,Tabelle1!$A$4:$BU$73,67,0)&lt;&gt;"",BN$1,"")</f>
        <v/>
      </c>
      <c r="BO28" t="str">
        <f>IF(VLOOKUP($A28,Tabelle1!$A$4:$BU$73,68,0)&lt;&gt;"",BO$1,"")</f>
        <v/>
      </c>
      <c r="BP28" t="str">
        <f>IF(VLOOKUP($A28,Tabelle1!$A$4:$BU$73,69,0)&lt;&gt;"",BP$1,"")</f>
        <v/>
      </c>
      <c r="BQ28" t="str">
        <f>IF(VLOOKUP($A28,Tabelle1!$A$4:$BU$73,70,0)&lt;&gt;"",BQ$1,"")</f>
        <v/>
      </c>
      <c r="BR28" t="str">
        <f>IF(VLOOKUP($A28,Tabelle1!$A$4:$BU$73,71,0)&lt;&gt;"",BR$1,"")</f>
        <v/>
      </c>
      <c r="BS28" t="str">
        <f>IF(VLOOKUP($A28,Tabelle1!$A$4:$BU$73,72,0)&lt;&gt;"",BS$1,"")</f>
        <v/>
      </c>
      <c r="BT28" t="str">
        <f>IF(VLOOKUP($A28,Tabelle1!$A$4:$BU$73,73,0)&lt;&gt;"",BT$1,"")</f>
        <v/>
      </c>
    </row>
    <row r="29" spans="1:72" x14ac:dyDescent="0.2">
      <c r="A29" t="s">
        <v>744</v>
      </c>
      <c r="B29">
        <v>100</v>
      </c>
      <c r="C29">
        <v>2.21</v>
      </c>
      <c r="D29" t="str">
        <f>IF(VLOOKUP($A29,Tabelle1!$A$4:$BU$73,5,0)&lt;&gt;"",D$1,"")</f>
        <v/>
      </c>
      <c r="E29" t="str">
        <f>IF(VLOOKUP($A29,Tabelle1!$A$4:$BU$73,6,0)&lt;&gt;"",E$1,"")</f>
        <v>Ackerbohne</v>
      </c>
      <c r="F29" t="str">
        <f>IF(VLOOKUP($A29,Tabelle1!$A$4:$BU$73,7,0)&lt;&gt;"",F$1,"")</f>
        <v/>
      </c>
      <c r="G29" t="str">
        <f>IF(VLOOKUP($A29,Tabelle1!$A$4:$BU$73,8,0)&lt;&gt;"",G$1,"")</f>
        <v/>
      </c>
      <c r="H29" t="str">
        <f>IF(VLOOKUP($A29,Tabelle1!$A$4:$BU$73,9,0)&lt;&gt;"",H$1,"")</f>
        <v/>
      </c>
      <c r="I29" t="str">
        <f>IF(VLOOKUP($A29,Tabelle1!$A$4:$BU$73,10,0)&lt;&gt;"",I$1,"")</f>
        <v/>
      </c>
      <c r="J29" t="str">
        <f>IF(VLOOKUP($A29,Tabelle1!$A$4:$BU$73,11,0)&lt;&gt;"",J$1,"")</f>
        <v/>
      </c>
      <c r="K29" t="str">
        <f>IF(VLOOKUP($A29,Tabelle1!$A$4:$BU$73,12,0)&lt;&gt;"",K$1,"")</f>
        <v/>
      </c>
      <c r="L29" t="str">
        <f>IF(VLOOKUP($A29,Tabelle1!$A$4:$BU$73,13,0)&lt;&gt;"",L$1,"")</f>
        <v/>
      </c>
      <c r="M29" t="str">
        <f>IF(VLOOKUP($A29,Tabelle1!$A$4:$BU$73,14,0)&lt;&gt;"",M$1,"")</f>
        <v>Futtererbse</v>
      </c>
      <c r="N29" t="str">
        <f>IF(VLOOKUP($A29,Tabelle1!$A$4:$BU$73,15,0)&lt;&gt;"",N$1,"")</f>
        <v/>
      </c>
      <c r="O29" t="str">
        <f>IF(VLOOKUP($A29,Tabelle1!$A$4:$BU$73,16,0)&lt;&gt;"",O$1,"")</f>
        <v/>
      </c>
      <c r="P29" t="str">
        <f>IF(VLOOKUP($A29,Tabelle1!$A$4:$BU$73,17,0)&lt;&gt;"",P$1,"")</f>
        <v/>
      </c>
      <c r="Q29" t="str">
        <f>IF(VLOOKUP($A29,Tabelle1!$A$4:$BU$73,18,0)&lt;&gt;"",Q$1,"")</f>
        <v/>
      </c>
      <c r="R29" t="str">
        <f>IF(VLOOKUP($A29,Tabelle1!$A$4:$BU$73,19,0)&lt;&gt;"",R$1,"")</f>
        <v/>
      </c>
      <c r="S29" t="str">
        <f>IF(VLOOKUP($A29,Tabelle1!$A$4:$BU$73,20,0)&lt;&gt;"",S$1,"")</f>
        <v/>
      </c>
      <c r="T29" t="str">
        <f>IF(VLOOKUP($A29,Tabelle1!$A$4:$BU$73,21,0)&lt;&gt;"",T$1,"")</f>
        <v/>
      </c>
      <c r="U29" t="str">
        <f>IF(VLOOKUP($A29,Tabelle1!$A$4:$BU$73,22,0)&lt;&gt;"",U$1,"")</f>
        <v/>
      </c>
      <c r="V29" t="str">
        <f>IF(VLOOKUP($A29,Tabelle1!$A$4:$BU$73,23,0)&lt;&gt;"",V$1,"")</f>
        <v/>
      </c>
      <c r="W29" t="str">
        <f>IF(VLOOKUP($A29,Tabelle1!$A$4:$BU$73,24,0)&lt;&gt;"",W$1,"")</f>
        <v/>
      </c>
      <c r="X29" t="str">
        <f>IF(VLOOKUP($A29,Tabelle1!$A$4:$BU$73,25,0)&lt;&gt;"",X$1,"")</f>
        <v/>
      </c>
      <c r="Y29" t="str">
        <f>IF(VLOOKUP($A29,Tabelle1!$A$4:$BU$73,26,0)&lt;&gt;"",Y$1,"")</f>
        <v/>
      </c>
      <c r="Z29" t="str">
        <f>IF(VLOOKUP($A29,Tabelle1!$A$4:$BU$73,27,0)&lt;&gt;"",Z$1,"")</f>
        <v/>
      </c>
      <c r="AA29" t="str">
        <f>IF(VLOOKUP($A29,Tabelle1!$A$4:$BU$73,28,0)&lt;&gt;"",AA$1,"")</f>
        <v/>
      </c>
      <c r="AB29" t="str">
        <f>IF(VLOOKUP($A29,Tabelle1!$A$4:$BU$73,29,0)&lt;&gt;"",AB$1,"")</f>
        <v/>
      </c>
      <c r="AC29" t="str">
        <f>IF(VLOOKUP($A29,Tabelle1!$A$4:$BU$73,30,0)&lt;&gt;"",AC$1,"")</f>
        <v/>
      </c>
      <c r="AD29" t="str">
        <f>IF(VLOOKUP($A29,Tabelle1!$A$4:$BU$73,31,0)&lt;&gt;"",AD$1,"")</f>
        <v/>
      </c>
      <c r="AE29" t="str">
        <f>IF(VLOOKUP($A29,Tabelle1!$A$4:$BU$73,32,0)&lt;&gt;"",AE$1,"")</f>
        <v/>
      </c>
      <c r="AF29" t="str">
        <f>IF(VLOOKUP($A29,Tabelle1!$A$4:$BU$73,33,0)&lt;&gt;"",AF$1,"")</f>
        <v/>
      </c>
      <c r="AG29" t="str">
        <f>IF(VLOOKUP($A29,Tabelle1!$A$4:$BU$73,34,0)&lt;&gt;"",AG$1,"")</f>
        <v/>
      </c>
      <c r="AH29" t="str">
        <f>IF(VLOOKUP($A29,Tabelle1!$A$4:$BU$73,35,0)&lt;&gt;"",AH$1,"")</f>
        <v/>
      </c>
      <c r="AI29" t="str">
        <f>IF(VLOOKUP($A29,Tabelle1!$A$4:$BU$73,36,0)&lt;&gt;"",AI$1,"")</f>
        <v/>
      </c>
      <c r="AJ29" t="str">
        <f>IF(VLOOKUP($A29,Tabelle1!$A$4:$BU$73,37,0)&lt;&gt;"",AJ$1,"")</f>
        <v/>
      </c>
      <c r="AK29" t="str">
        <f>IF(VLOOKUP($A29,Tabelle1!$A$4:$BU$73,38,0)&lt;&gt;"",AK$1,"")</f>
        <v/>
      </c>
      <c r="AL29" t="str">
        <f>IF(VLOOKUP($A29,Tabelle1!$A$4:$BU$73,39,0)&lt;&gt;"",AL$1,"")</f>
        <v/>
      </c>
      <c r="AM29" t="str">
        <f>IF(VLOOKUP($A29,Tabelle1!$A$4:$BU$73,40,0)&lt;&gt;"",AM$1,"")</f>
        <v>Saatwicke / Sommerwicke</v>
      </c>
      <c r="AN29" t="str">
        <f>IF(VLOOKUP($A29,Tabelle1!$A$4:$BU$73,41,0)&lt;&gt;"",AN$1,"")</f>
        <v/>
      </c>
      <c r="AO29" t="str">
        <f>IF(VLOOKUP($A29,Tabelle1!$A$4:$BU$73,42,0)&lt;&gt;"",AO$1,"")</f>
        <v>Sandhafer / Rauhafer</v>
      </c>
      <c r="AP29" t="str">
        <f>IF(VLOOKUP($A29,Tabelle1!$A$4:$BU$73,43,0)&lt;&gt;"",AP$1,"")</f>
        <v/>
      </c>
      <c r="AQ29" t="str">
        <f>IF(VLOOKUP($A29,Tabelle1!$A$4:$BU$73,44,0)&lt;&gt;"",AQ$1,"")</f>
        <v/>
      </c>
      <c r="AR29" t="str">
        <f>IF(VLOOKUP($A29,Tabelle1!$A$4:$BU$73,45,0)&lt;&gt;"",AR$1,"")</f>
        <v/>
      </c>
      <c r="AS29" t="str">
        <f>IF(VLOOKUP($A29,Tabelle1!$A$4:$BU$73,46,0)&lt;&gt;"",AS$1,"")</f>
        <v/>
      </c>
      <c r="AT29" t="str">
        <f>IF(VLOOKUP($A29,Tabelle1!$A$4:$BU$73,47,0)&lt;&gt;"",AT$1,"")</f>
        <v/>
      </c>
      <c r="AU29" t="str">
        <f>IF(VLOOKUP($A29,Tabelle1!$A$4:$BU$73,48,0)&lt;&gt;"",AU$1,"")</f>
        <v/>
      </c>
      <c r="AV29" t="str">
        <f>IF(VLOOKUP($A29,Tabelle1!$A$4:$BU$73,49,0)&lt;&gt;"",AV$1,"")</f>
        <v/>
      </c>
      <c r="AW29" t="str">
        <f>IF(VLOOKUP($A29,Tabelle1!$A$4:$BU$73,50,0)&lt;&gt;"",AW$1,"")</f>
        <v/>
      </c>
      <c r="AX29" t="str">
        <f>IF(VLOOKUP($A29,Tabelle1!$A$4:$BU$73,51,0)&lt;&gt;"",AX$1,"")</f>
        <v/>
      </c>
      <c r="AY29" t="str">
        <f>IF(VLOOKUP($A29,Tabelle1!$A$4:$BU$73,52,0)&lt;&gt;"",AY$1,"")</f>
        <v/>
      </c>
      <c r="AZ29" t="str">
        <f>IF(VLOOKUP($A29,Tabelle1!$A$4:$BU$73,53,0)&lt;&gt;"",AZ$1,"")</f>
        <v/>
      </c>
      <c r="BA29" t="str">
        <f>IF(VLOOKUP($A29,Tabelle1!$A$4:$BU$73,54,0)&lt;&gt;"",BA$1,"")</f>
        <v/>
      </c>
      <c r="BB29" t="str">
        <f>IF(VLOOKUP($A29,Tabelle1!$A$4:$BU$73,55,0)&lt;&gt;"",BB$1,"")</f>
        <v/>
      </c>
      <c r="BC29" t="str">
        <f>IF(VLOOKUP($A29,Tabelle1!$A$4:$BU$73,56,0)&lt;&gt;"",BC$1,"")</f>
        <v/>
      </c>
      <c r="BD29" t="str">
        <f>IF(VLOOKUP($A29,Tabelle1!$A$4:$BU$73,57,0)&lt;&gt;"",BD$1,"")</f>
        <v/>
      </c>
      <c r="BE29" t="str">
        <f>IF(VLOOKUP($A29,Tabelle1!$A$4:$BU$73,58,0)&lt;&gt;"",BE$1,"")</f>
        <v/>
      </c>
      <c r="BF29" t="str">
        <f>IF(VLOOKUP($A29,Tabelle1!$A$4:$BU$73,59,0)&lt;&gt;"",BF$1,"")</f>
        <v/>
      </c>
      <c r="BG29" t="str">
        <f>IF(VLOOKUP($A29,Tabelle1!$A$4:$BU$73,60,0)&lt;&gt;"",BG$1,"")</f>
        <v/>
      </c>
      <c r="BH29" t="str">
        <f>IF(VLOOKUP($A29,Tabelle1!$A$4:$BU$73,61,0)&lt;&gt;"",BH$1,"")</f>
        <v/>
      </c>
      <c r="BI29" t="str">
        <f>IF(VLOOKUP($A29,Tabelle1!$A$4:$BU$73,62,0)&lt;&gt;"",BI$1,"")</f>
        <v>Körnererbse</v>
      </c>
      <c r="BJ29" t="str">
        <f>IF(VLOOKUP($A29,Tabelle1!$A$4:$BU$73,63,0)&lt;&gt;"",BJ$1,"")</f>
        <v>Sojabohne</v>
      </c>
      <c r="BK29" t="str">
        <f>IF(VLOOKUP($A29,Tabelle1!$A$4:$BU$73,64,0)&lt;&gt;"",BK$1,"")</f>
        <v/>
      </c>
      <c r="BL29" t="str">
        <f>IF(VLOOKUP($A29,Tabelle1!$A$4:$BU$73,65,0)&lt;&gt;"",BL$1,"")</f>
        <v/>
      </c>
      <c r="BM29" t="str">
        <f>IF(VLOOKUP($A29,Tabelle1!$A$4:$BU$73,66,0)&lt;&gt;"",BM$1,"")</f>
        <v/>
      </c>
      <c r="BN29" t="str">
        <f>IF(VLOOKUP($A29,Tabelle1!$A$4:$BU$73,67,0)&lt;&gt;"",BN$1,"")</f>
        <v/>
      </c>
      <c r="BO29" t="str">
        <f>IF(VLOOKUP($A29,Tabelle1!$A$4:$BU$73,68,0)&lt;&gt;"",BO$1,"")</f>
        <v/>
      </c>
      <c r="BP29" t="str">
        <f>IF(VLOOKUP($A29,Tabelle1!$A$4:$BU$73,69,0)&lt;&gt;"",BP$1,"")</f>
        <v/>
      </c>
      <c r="BQ29" t="str">
        <f>IF(VLOOKUP($A29,Tabelle1!$A$4:$BU$73,70,0)&lt;&gt;"",BQ$1,"")</f>
        <v/>
      </c>
      <c r="BR29" t="str">
        <f>IF(VLOOKUP($A29,Tabelle1!$A$4:$BU$73,71,0)&lt;&gt;"",BR$1,"")</f>
        <v/>
      </c>
      <c r="BS29" t="str">
        <f>IF(VLOOKUP($A29,Tabelle1!$A$4:$BU$73,72,0)&lt;&gt;"",BS$1,"")</f>
        <v/>
      </c>
      <c r="BT29" t="str">
        <f>IF(VLOOKUP($A29,Tabelle1!$A$4:$BU$73,73,0)&lt;&gt;"",BT$1,"")</f>
        <v/>
      </c>
    </row>
    <row r="30" spans="1:72" x14ac:dyDescent="0.2">
      <c r="A30" t="s">
        <v>879</v>
      </c>
      <c r="B30">
        <v>100</v>
      </c>
      <c r="C30">
        <v>2.83</v>
      </c>
      <c r="D30" t="str">
        <f>IF(VLOOKUP($A30,Tabelle1!$A$4:$BU$73,5,0)&lt;&gt;"",D$1,"")</f>
        <v/>
      </c>
      <c r="E30" t="str">
        <f>IF(VLOOKUP($A30,Tabelle1!$A$4:$BU$73,6,0)&lt;&gt;"",E$1,"")</f>
        <v>Ackerbohne</v>
      </c>
      <c r="F30" t="str">
        <f>IF(VLOOKUP($A30,Tabelle1!$A$4:$BU$73,7,0)&lt;&gt;"",F$1,"")</f>
        <v/>
      </c>
      <c r="G30" t="str">
        <f>IF(VLOOKUP($A30,Tabelle1!$A$4:$BU$73,8,0)&lt;&gt;"",G$1,"")</f>
        <v/>
      </c>
      <c r="H30" t="str">
        <f>IF(VLOOKUP($A30,Tabelle1!$A$4:$BU$73,9,0)&lt;&gt;"",H$1,"")</f>
        <v/>
      </c>
      <c r="I30" t="str">
        <f>IF(VLOOKUP($A30,Tabelle1!$A$4:$BU$73,10,0)&lt;&gt;"",I$1,"")</f>
        <v/>
      </c>
      <c r="J30" t="str">
        <f>IF(VLOOKUP($A30,Tabelle1!$A$4:$BU$73,11,0)&lt;&gt;"",J$1,"")</f>
        <v/>
      </c>
      <c r="K30" t="str">
        <f>IF(VLOOKUP($A30,Tabelle1!$A$4:$BU$73,12,0)&lt;&gt;"",K$1,"")</f>
        <v/>
      </c>
      <c r="L30" t="str">
        <f>IF(VLOOKUP($A30,Tabelle1!$A$4:$BU$73,13,0)&lt;&gt;"",L$1,"")</f>
        <v/>
      </c>
      <c r="M30" t="str">
        <f>IF(VLOOKUP($A30,Tabelle1!$A$4:$BU$73,14,0)&lt;&gt;"",M$1,"")</f>
        <v>Futtererbse</v>
      </c>
      <c r="N30" t="str">
        <f>IF(VLOOKUP($A30,Tabelle1!$A$4:$BU$73,15,0)&lt;&gt;"",N$1,"")</f>
        <v/>
      </c>
      <c r="O30" t="str">
        <f>IF(VLOOKUP($A30,Tabelle1!$A$4:$BU$73,16,0)&lt;&gt;"",O$1,"")</f>
        <v/>
      </c>
      <c r="P30" t="str">
        <f>IF(VLOOKUP($A30,Tabelle1!$A$4:$BU$73,17,0)&lt;&gt;"",P$1,"")</f>
        <v/>
      </c>
      <c r="Q30" t="str">
        <f>IF(VLOOKUP($A30,Tabelle1!$A$4:$BU$73,18,0)&lt;&gt;"",Q$1,"")</f>
        <v/>
      </c>
      <c r="R30" t="str">
        <f>IF(VLOOKUP($A30,Tabelle1!$A$4:$BU$73,19,0)&lt;&gt;"",R$1,"")</f>
        <v/>
      </c>
      <c r="S30" t="str">
        <f>IF(VLOOKUP($A30,Tabelle1!$A$4:$BU$73,20,0)&lt;&gt;"",S$1,"")</f>
        <v/>
      </c>
      <c r="T30" t="str">
        <f>IF(VLOOKUP($A30,Tabelle1!$A$4:$BU$73,21,0)&lt;&gt;"",T$1,"")</f>
        <v/>
      </c>
      <c r="U30" t="str">
        <f>IF(VLOOKUP($A30,Tabelle1!$A$4:$BU$73,22,0)&lt;&gt;"",U$1,"")</f>
        <v/>
      </c>
      <c r="V30" t="str">
        <f>IF(VLOOKUP($A30,Tabelle1!$A$4:$BU$73,23,0)&lt;&gt;"",V$1,"")</f>
        <v/>
      </c>
      <c r="W30" t="str">
        <f>IF(VLOOKUP($A30,Tabelle1!$A$4:$BU$73,24,0)&lt;&gt;"",W$1,"")</f>
        <v/>
      </c>
      <c r="X30" t="str">
        <f>IF(VLOOKUP($A30,Tabelle1!$A$4:$BU$73,25,0)&lt;&gt;"",X$1,"")</f>
        <v/>
      </c>
      <c r="Y30" t="str">
        <f>IF(VLOOKUP($A30,Tabelle1!$A$4:$BU$73,26,0)&lt;&gt;"",Y$1,"")</f>
        <v/>
      </c>
      <c r="Z30" t="str">
        <f>IF(VLOOKUP($A30,Tabelle1!$A$4:$BU$73,27,0)&lt;&gt;"",Z$1,"")</f>
        <v/>
      </c>
      <c r="AA30" t="str">
        <f>IF(VLOOKUP($A30,Tabelle1!$A$4:$BU$73,28,0)&lt;&gt;"",AA$1,"")</f>
        <v/>
      </c>
      <c r="AB30" t="str">
        <f>IF(VLOOKUP($A30,Tabelle1!$A$4:$BU$73,29,0)&lt;&gt;"",AB$1,"")</f>
        <v/>
      </c>
      <c r="AC30" t="str">
        <f>IF(VLOOKUP($A30,Tabelle1!$A$4:$BU$73,30,0)&lt;&gt;"",AC$1,"")</f>
        <v/>
      </c>
      <c r="AD30" t="str">
        <f>IF(VLOOKUP($A30,Tabelle1!$A$4:$BU$73,31,0)&lt;&gt;"",AD$1,"")</f>
        <v/>
      </c>
      <c r="AE30" t="str">
        <f>IF(VLOOKUP($A30,Tabelle1!$A$4:$BU$73,32,0)&lt;&gt;"",AE$1,"")</f>
        <v/>
      </c>
      <c r="AF30" t="str">
        <f>IF(VLOOKUP($A30,Tabelle1!$A$4:$BU$73,33,0)&lt;&gt;"",AF$1,"")</f>
        <v/>
      </c>
      <c r="AG30" t="str">
        <f>IF(VLOOKUP($A30,Tabelle1!$A$4:$BU$73,34,0)&lt;&gt;"",AG$1,"")</f>
        <v/>
      </c>
      <c r="AH30" t="str">
        <f>IF(VLOOKUP($A30,Tabelle1!$A$4:$BU$73,35,0)&lt;&gt;"",AH$1,"")</f>
        <v/>
      </c>
      <c r="AI30" t="str">
        <f>IF(VLOOKUP($A30,Tabelle1!$A$4:$BU$73,36,0)&lt;&gt;"",AI$1,"")</f>
        <v/>
      </c>
      <c r="AJ30" t="str">
        <f>IF(VLOOKUP($A30,Tabelle1!$A$4:$BU$73,37,0)&lt;&gt;"",AJ$1,"")</f>
        <v/>
      </c>
      <c r="AK30" t="str">
        <f>IF(VLOOKUP($A30,Tabelle1!$A$4:$BU$73,38,0)&lt;&gt;"",AK$1,"")</f>
        <v/>
      </c>
      <c r="AL30" t="str">
        <f>IF(VLOOKUP($A30,Tabelle1!$A$4:$BU$73,39,0)&lt;&gt;"",AL$1,"")</f>
        <v>Saatplatterbse</v>
      </c>
      <c r="AM30" t="str">
        <f>IF(VLOOKUP($A30,Tabelle1!$A$4:$BU$73,40,0)&lt;&gt;"",AM$1,"")</f>
        <v>Saatwicke / Sommerwicke</v>
      </c>
      <c r="AN30" t="str">
        <f>IF(VLOOKUP($A30,Tabelle1!$A$4:$BU$73,41,0)&lt;&gt;"",AN$1,"")</f>
        <v/>
      </c>
      <c r="AO30" t="str">
        <f>IF(VLOOKUP($A30,Tabelle1!$A$4:$BU$73,42,0)&lt;&gt;"",AO$1,"")</f>
        <v>Sandhafer / Rauhafer</v>
      </c>
      <c r="AP30" t="str">
        <f>IF(VLOOKUP($A30,Tabelle1!$A$4:$BU$73,43,0)&lt;&gt;"",AP$1,"")</f>
        <v/>
      </c>
      <c r="AQ30" t="str">
        <f>IF(VLOOKUP($A30,Tabelle1!$A$4:$BU$73,44,0)&lt;&gt;"",AQ$1,"")</f>
        <v/>
      </c>
      <c r="AR30" t="str">
        <f>IF(VLOOKUP($A30,Tabelle1!$A$4:$BU$73,45,0)&lt;&gt;"",AR$1,"")</f>
        <v/>
      </c>
      <c r="AS30" t="str">
        <f>IF(VLOOKUP($A30,Tabelle1!$A$4:$BU$73,46,0)&lt;&gt;"",AS$1,"")</f>
        <v/>
      </c>
      <c r="AT30" t="str">
        <f>IF(VLOOKUP($A30,Tabelle1!$A$4:$BU$73,47,0)&lt;&gt;"",AT$1,"")</f>
        <v/>
      </c>
      <c r="AU30" t="str">
        <f>IF(VLOOKUP($A30,Tabelle1!$A$4:$BU$73,48,0)&lt;&gt;"",AU$1,"")</f>
        <v/>
      </c>
      <c r="AV30" t="str">
        <f>IF(VLOOKUP($A30,Tabelle1!$A$4:$BU$73,49,0)&lt;&gt;"",AV$1,"")</f>
        <v/>
      </c>
      <c r="AW30" t="str">
        <f>IF(VLOOKUP($A30,Tabelle1!$A$4:$BU$73,50,0)&lt;&gt;"",AW$1,"")</f>
        <v/>
      </c>
      <c r="AX30" t="str">
        <f>IF(VLOOKUP($A30,Tabelle1!$A$4:$BU$73,51,0)&lt;&gt;"",AX$1,"")</f>
        <v/>
      </c>
      <c r="AY30" t="str">
        <f>IF(VLOOKUP($A30,Tabelle1!$A$4:$BU$73,52,0)&lt;&gt;"",AY$1,"")</f>
        <v/>
      </c>
      <c r="AZ30" t="str">
        <f>IF(VLOOKUP($A30,Tabelle1!$A$4:$BU$73,53,0)&lt;&gt;"",AZ$1,"")</f>
        <v/>
      </c>
      <c r="BA30" t="str">
        <f>IF(VLOOKUP($A30,Tabelle1!$A$4:$BU$73,54,0)&lt;&gt;"",BA$1,"")</f>
        <v/>
      </c>
      <c r="BB30" t="str">
        <f>IF(VLOOKUP($A30,Tabelle1!$A$4:$BU$73,55,0)&lt;&gt;"",BB$1,"")</f>
        <v/>
      </c>
      <c r="BC30" t="str">
        <f>IF(VLOOKUP($A30,Tabelle1!$A$4:$BU$73,56,0)&lt;&gt;"",BC$1,"")</f>
        <v/>
      </c>
      <c r="BD30" t="str">
        <f>IF(VLOOKUP($A30,Tabelle1!$A$4:$BU$73,57,0)&lt;&gt;"",BD$1,"")</f>
        <v/>
      </c>
      <c r="BE30" t="str">
        <f>IF(VLOOKUP($A30,Tabelle1!$A$4:$BU$73,58,0)&lt;&gt;"",BE$1,"")</f>
        <v/>
      </c>
      <c r="BF30" t="str">
        <f>IF(VLOOKUP($A30,Tabelle1!$A$4:$BU$73,59,0)&lt;&gt;"",BF$1,"")</f>
        <v/>
      </c>
      <c r="BG30" t="str">
        <f>IF(VLOOKUP($A30,Tabelle1!$A$4:$BU$73,60,0)&lt;&gt;"",BG$1,"")</f>
        <v/>
      </c>
      <c r="BH30" t="str">
        <f>IF(VLOOKUP($A30,Tabelle1!$A$4:$BU$73,61,0)&lt;&gt;"",BH$1,"")</f>
        <v/>
      </c>
      <c r="BI30" t="str">
        <f>IF(VLOOKUP($A30,Tabelle1!$A$4:$BU$73,62,0)&lt;&gt;"",BI$1,"")</f>
        <v>Körnererbse</v>
      </c>
      <c r="BJ30" t="str">
        <f>IF(VLOOKUP($A30,Tabelle1!$A$4:$BU$73,63,0)&lt;&gt;"",BJ$1,"")</f>
        <v/>
      </c>
      <c r="BK30" t="str">
        <f>IF(VLOOKUP($A30,Tabelle1!$A$4:$BU$73,64,0)&lt;&gt;"",BK$1,"")</f>
        <v/>
      </c>
      <c r="BL30" t="str">
        <f>IF(VLOOKUP($A30,Tabelle1!$A$4:$BU$73,65,0)&lt;&gt;"",BL$1,"")</f>
        <v/>
      </c>
      <c r="BM30" t="str">
        <f>IF(VLOOKUP($A30,Tabelle1!$A$4:$BU$73,66,0)&lt;&gt;"",BM$1,"")</f>
        <v/>
      </c>
      <c r="BN30" t="str">
        <f>IF(VLOOKUP($A30,Tabelle1!$A$4:$BU$73,67,0)&lt;&gt;"",BN$1,"")</f>
        <v/>
      </c>
      <c r="BO30" t="str">
        <f>IF(VLOOKUP($A30,Tabelle1!$A$4:$BU$73,68,0)&lt;&gt;"",BO$1,"")</f>
        <v/>
      </c>
      <c r="BP30" t="str">
        <f>IF(VLOOKUP($A30,Tabelle1!$A$4:$BU$73,69,0)&lt;&gt;"",BP$1,"")</f>
        <v/>
      </c>
      <c r="BQ30" t="str">
        <f>IF(VLOOKUP($A30,Tabelle1!$A$4:$BU$73,70,0)&lt;&gt;"",BQ$1,"")</f>
        <v/>
      </c>
      <c r="BR30" t="str">
        <f>IF(VLOOKUP($A30,Tabelle1!$A$4:$BU$73,71,0)&lt;&gt;"",BR$1,"")</f>
        <v/>
      </c>
      <c r="BS30" t="str">
        <f>IF(VLOOKUP($A30,Tabelle1!$A$4:$BU$73,72,0)&lt;&gt;"",BS$1,"")</f>
        <v/>
      </c>
      <c r="BT30" t="str">
        <f>IF(VLOOKUP($A30,Tabelle1!$A$4:$BU$73,73,0)&lt;&gt;"",BT$1,"")</f>
        <v/>
      </c>
    </row>
    <row r="31" spans="1:72" x14ac:dyDescent="0.2">
      <c r="A31" t="s">
        <v>82</v>
      </c>
      <c r="B31">
        <v>20</v>
      </c>
      <c r="C31">
        <v>9.11</v>
      </c>
      <c r="D31" t="str">
        <f>IF(VLOOKUP($A31,Tabelle1!$A$4:$BU$73,5,0)&lt;&gt;"",D$1,"")</f>
        <v/>
      </c>
      <c r="E31" t="str">
        <f>IF(VLOOKUP($A31,Tabelle1!$A$4:$BU$73,6,0)&lt;&gt;"",E$1,"")</f>
        <v/>
      </c>
      <c r="F31" t="str">
        <f>IF(VLOOKUP($A31,Tabelle1!$A$4:$BU$73,7,0)&lt;&gt;"",F$1,"")</f>
        <v/>
      </c>
      <c r="G31" t="str">
        <f>IF(VLOOKUP($A31,Tabelle1!$A$4:$BU$73,8,0)&lt;&gt;"",G$1,"")</f>
        <v/>
      </c>
      <c r="H31" t="str">
        <f>IF(VLOOKUP($A31,Tabelle1!$A$4:$BU$73,9,0)&lt;&gt;"",H$1,"")</f>
        <v/>
      </c>
      <c r="I31" t="str">
        <f>IF(VLOOKUP($A31,Tabelle1!$A$4:$BU$73,10,0)&lt;&gt;"",I$1,"")</f>
        <v/>
      </c>
      <c r="J31" t="str">
        <f>IF(VLOOKUP($A31,Tabelle1!$A$4:$BU$73,11,0)&lt;&gt;"",J$1,"")</f>
        <v/>
      </c>
      <c r="K31" t="str">
        <f>IF(VLOOKUP($A31,Tabelle1!$A$4:$BU$73,12,0)&lt;&gt;"",K$1,"")</f>
        <v/>
      </c>
      <c r="L31" t="str">
        <f>IF(VLOOKUP($A31,Tabelle1!$A$4:$BU$73,13,0)&lt;&gt;"",L$1,"")</f>
        <v>Esparsette</v>
      </c>
      <c r="M31" t="str">
        <f>IF(VLOOKUP($A31,Tabelle1!$A$4:$BU$73,14,0)&lt;&gt;"",M$1,"")</f>
        <v/>
      </c>
      <c r="N31" t="str">
        <f>IF(VLOOKUP($A31,Tabelle1!$A$4:$BU$73,15,0)&lt;&gt;"",N$1,"")</f>
        <v/>
      </c>
      <c r="O31" t="str">
        <f>IF(VLOOKUP($A31,Tabelle1!$A$4:$BU$73,16,0)&lt;&gt;"",O$1,"")</f>
        <v/>
      </c>
      <c r="P31" t="str">
        <f>IF(VLOOKUP($A31,Tabelle1!$A$4:$BU$73,17,0)&lt;&gt;"",P$1,"")</f>
        <v/>
      </c>
      <c r="Q31" t="str">
        <f>IF(VLOOKUP($A31,Tabelle1!$A$4:$BU$73,18,0)&lt;&gt;"",Q$1,"")</f>
        <v/>
      </c>
      <c r="R31" t="str">
        <f>IF(VLOOKUP($A31,Tabelle1!$A$4:$BU$73,19,0)&lt;&gt;"",R$1,"")</f>
        <v/>
      </c>
      <c r="S31" t="str">
        <f>IF(VLOOKUP($A31,Tabelle1!$A$4:$BU$73,20,0)&lt;&gt;"",S$1,"")</f>
        <v/>
      </c>
      <c r="T31" t="str">
        <f>IF(VLOOKUP($A31,Tabelle1!$A$4:$BU$73,21,0)&lt;&gt;"",T$1,"")</f>
        <v>Inkarnatklee</v>
      </c>
      <c r="U31" t="str">
        <f>IF(VLOOKUP($A31,Tabelle1!$A$4:$BU$73,22,0)&lt;&gt;"",U$1,"")</f>
        <v/>
      </c>
      <c r="V31" t="str">
        <f>IF(VLOOKUP($A31,Tabelle1!$A$4:$BU$73,23,0)&lt;&gt;"",V$1,"")</f>
        <v/>
      </c>
      <c r="W31" t="str">
        <f>IF(VLOOKUP($A31,Tabelle1!$A$4:$BU$73,24,0)&lt;&gt;"",W$1,"")</f>
        <v/>
      </c>
      <c r="X31" t="str">
        <f>IF(VLOOKUP($A31,Tabelle1!$A$4:$BU$73,25,0)&lt;&gt;"",X$1,"")</f>
        <v/>
      </c>
      <c r="Y31" t="str">
        <f>IF(VLOOKUP($A31,Tabelle1!$A$4:$BU$73,26,0)&lt;&gt;"",Y$1,"")</f>
        <v>Leindotter</v>
      </c>
      <c r="Z31" t="str">
        <f>IF(VLOOKUP($A31,Tabelle1!$A$4:$BU$73,27,0)&lt;&gt;"",Z$1,"")</f>
        <v/>
      </c>
      <c r="AA31" t="str">
        <f>IF(VLOOKUP($A31,Tabelle1!$A$4:$BU$73,28,0)&lt;&gt;"",AA$1,"")</f>
        <v>Luzerne</v>
      </c>
      <c r="AB31" t="str">
        <f>IF(VLOOKUP($A31,Tabelle1!$A$4:$BU$73,29,0)&lt;&gt;"",AB$1,"")</f>
        <v/>
      </c>
      <c r="AC31" t="str">
        <f>IF(VLOOKUP($A31,Tabelle1!$A$4:$BU$73,30,0)&lt;&gt;"",AC$1,"")</f>
        <v/>
      </c>
      <c r="AD31" t="str">
        <f>IF(VLOOKUP($A31,Tabelle1!$A$4:$BU$73,31,0)&lt;&gt;"",AD$1,"")</f>
        <v/>
      </c>
      <c r="AE31" t="str">
        <f>IF(VLOOKUP($A31,Tabelle1!$A$4:$BU$73,32,0)&lt;&gt;"",AE$1,"")</f>
        <v/>
      </c>
      <c r="AF31" t="str">
        <f>IF(VLOOKUP($A31,Tabelle1!$A$4:$BU$73,33,0)&lt;&gt;"",AF$1,"")</f>
        <v/>
      </c>
      <c r="AG31" t="str">
        <f>IF(VLOOKUP($A31,Tabelle1!$A$4:$BU$73,34,0)&lt;&gt;"",AG$1,"")</f>
        <v/>
      </c>
      <c r="AH31" t="str">
        <f>IF(VLOOKUP($A31,Tabelle1!$A$4:$BU$73,35,0)&lt;&gt;"",AH$1,"")</f>
        <v>Phazelie</v>
      </c>
      <c r="AI31" t="str">
        <f>IF(VLOOKUP($A31,Tabelle1!$A$4:$BU$73,36,0)&lt;&gt;"",AI$1,"")</f>
        <v/>
      </c>
      <c r="AJ31" t="str">
        <f>IF(VLOOKUP($A31,Tabelle1!$A$4:$BU$73,37,0)&lt;&gt;"",AJ$1,"")</f>
        <v/>
      </c>
      <c r="AK31" t="str">
        <f>IF(VLOOKUP($A31,Tabelle1!$A$4:$BU$73,38,0)&lt;&gt;"",AK$1,"")</f>
        <v>Rotklee</v>
      </c>
      <c r="AL31" t="str">
        <f>IF(VLOOKUP($A31,Tabelle1!$A$4:$BU$73,39,0)&lt;&gt;"",AL$1,"")</f>
        <v/>
      </c>
      <c r="AM31" t="str">
        <f>IF(VLOOKUP($A31,Tabelle1!$A$4:$BU$73,40,0)&lt;&gt;"",AM$1,"")</f>
        <v/>
      </c>
      <c r="AN31" t="str">
        <f>IF(VLOOKUP($A31,Tabelle1!$A$4:$BU$73,41,0)&lt;&gt;"",AN$1,"")</f>
        <v/>
      </c>
      <c r="AO31" t="str">
        <f>IF(VLOOKUP($A31,Tabelle1!$A$4:$BU$73,42,0)&lt;&gt;"",AO$1,"")</f>
        <v/>
      </c>
      <c r="AP31" t="str">
        <f>IF(VLOOKUP($A31,Tabelle1!$A$4:$BU$73,43,0)&lt;&gt;"",AP$1,"")</f>
        <v/>
      </c>
      <c r="AQ31" t="str">
        <f>IF(VLOOKUP($A31,Tabelle1!$A$4:$BU$73,44,0)&lt;&gt;"",AQ$1,"")</f>
        <v/>
      </c>
      <c r="AR31" t="str">
        <f>IF(VLOOKUP($A31,Tabelle1!$A$4:$BU$73,45,0)&lt;&gt;"",AR$1,"")</f>
        <v/>
      </c>
      <c r="AS31" t="str">
        <f>IF(VLOOKUP($A31,Tabelle1!$A$4:$BU$73,46,0)&lt;&gt;"",AS$1,"")</f>
        <v/>
      </c>
      <c r="AT31" t="str">
        <f>IF(VLOOKUP($A31,Tabelle1!$A$4:$BU$73,47,0)&lt;&gt;"",AT$1,"")</f>
        <v/>
      </c>
      <c r="AU31" t="str">
        <f>IF(VLOOKUP($A31,Tabelle1!$A$4:$BU$73,48,0)&lt;&gt;"",AU$1,"")</f>
        <v/>
      </c>
      <c r="AV31" t="str">
        <f>IF(VLOOKUP($A31,Tabelle1!$A$4:$BU$73,49,0)&lt;&gt;"",AV$1,"")</f>
        <v/>
      </c>
      <c r="AW31" t="str">
        <f>IF(VLOOKUP($A31,Tabelle1!$A$4:$BU$73,50,0)&lt;&gt;"",AW$1,"")</f>
        <v/>
      </c>
      <c r="AX31" t="str">
        <f>IF(VLOOKUP($A31,Tabelle1!$A$4:$BU$73,51,0)&lt;&gt;"",AX$1,"")</f>
        <v/>
      </c>
      <c r="AY31" t="str">
        <f>IF(VLOOKUP($A31,Tabelle1!$A$4:$BU$73,52,0)&lt;&gt;"",AY$1,"")</f>
        <v/>
      </c>
      <c r="AZ31" t="str">
        <f>IF(VLOOKUP($A31,Tabelle1!$A$4:$BU$73,53,0)&lt;&gt;"",AZ$1,"")</f>
        <v>Weißklee</v>
      </c>
      <c r="BA31" t="str">
        <f>IF(VLOOKUP($A31,Tabelle1!$A$4:$BU$73,54,0)&lt;&gt;"",BA$1,"")</f>
        <v/>
      </c>
      <c r="BB31" t="str">
        <f>IF(VLOOKUP($A31,Tabelle1!$A$4:$BU$73,55,0)&lt;&gt;"",BB$1,"")</f>
        <v/>
      </c>
      <c r="BC31" t="str">
        <f>IF(VLOOKUP($A31,Tabelle1!$A$4:$BU$73,56,0)&lt;&gt;"",BC$1,"")</f>
        <v/>
      </c>
      <c r="BD31" t="str">
        <f>IF(VLOOKUP($A31,Tabelle1!$A$4:$BU$73,57,0)&lt;&gt;"",BD$1,"")</f>
        <v/>
      </c>
      <c r="BE31" t="str">
        <f>IF(VLOOKUP($A31,Tabelle1!$A$4:$BU$73,58,0)&lt;&gt;"",BE$1,"")</f>
        <v/>
      </c>
      <c r="BF31" t="str">
        <f>IF(VLOOKUP($A31,Tabelle1!$A$4:$BU$73,59,0)&lt;&gt;"",BF$1,"")</f>
        <v/>
      </c>
      <c r="BG31" t="str">
        <f>IF(VLOOKUP($A31,Tabelle1!$A$4:$BU$73,60,0)&lt;&gt;"",BG$1,"")</f>
        <v/>
      </c>
      <c r="BH31" t="str">
        <f>IF(VLOOKUP($A31,Tabelle1!$A$4:$BU$73,61,0)&lt;&gt;"",BH$1,"")</f>
        <v/>
      </c>
      <c r="BI31" t="str">
        <f>IF(VLOOKUP($A31,Tabelle1!$A$4:$BU$73,62,0)&lt;&gt;"",BI$1,"")</f>
        <v/>
      </c>
      <c r="BJ31" t="str">
        <f>IF(VLOOKUP($A31,Tabelle1!$A$4:$BU$73,63,0)&lt;&gt;"",BJ$1,"")</f>
        <v/>
      </c>
      <c r="BK31" t="str">
        <f>IF(VLOOKUP($A31,Tabelle1!$A$4:$BU$73,64,0)&lt;&gt;"",BK$1,"")</f>
        <v/>
      </c>
      <c r="BL31" t="str">
        <f>IF(VLOOKUP($A31,Tabelle1!$A$4:$BU$73,65,0)&lt;&gt;"",BL$1,"")</f>
        <v/>
      </c>
      <c r="BM31" t="str">
        <f>IF(VLOOKUP($A31,Tabelle1!$A$4:$BU$73,66,0)&lt;&gt;"",BM$1,"")</f>
        <v/>
      </c>
      <c r="BN31" t="str">
        <f>IF(VLOOKUP($A31,Tabelle1!$A$4:$BU$73,67,0)&lt;&gt;"",BN$1,"")</f>
        <v/>
      </c>
      <c r="BO31" t="str">
        <f>IF(VLOOKUP($A31,Tabelle1!$A$4:$BU$73,68,0)&lt;&gt;"",BO$1,"")</f>
        <v/>
      </c>
      <c r="BP31" t="str">
        <f>IF(VLOOKUP($A31,Tabelle1!$A$4:$BU$73,69,0)&lt;&gt;"",BP$1,"")</f>
        <v/>
      </c>
      <c r="BQ31" t="str">
        <f>IF(VLOOKUP($A31,Tabelle1!$A$4:$BU$73,70,0)&lt;&gt;"",BQ$1,"")</f>
        <v/>
      </c>
      <c r="BR31" t="str">
        <f>IF(VLOOKUP($A31,Tabelle1!$A$4:$BU$73,71,0)&lt;&gt;"",BR$1,"")</f>
        <v/>
      </c>
      <c r="BS31" t="str">
        <f>IF(VLOOKUP($A31,Tabelle1!$A$4:$BU$73,72,0)&lt;&gt;"",BS$1,"")</f>
        <v/>
      </c>
      <c r="BT31" t="str">
        <f>IF(VLOOKUP($A31,Tabelle1!$A$4:$BU$73,73,0)&lt;&gt;"",BT$1,"")</f>
        <v/>
      </c>
    </row>
    <row r="32" spans="1:72" x14ac:dyDescent="0.2">
      <c r="A32" t="s">
        <v>83</v>
      </c>
      <c r="B32">
        <v>20</v>
      </c>
      <c r="C32">
        <v>8.09</v>
      </c>
      <c r="D32" t="str">
        <f>IF(VLOOKUP($A32,Tabelle1!$A$4:$BU$73,5,0)&lt;&gt;"",D$1,"")</f>
        <v/>
      </c>
      <c r="E32" t="str">
        <f>IF(VLOOKUP($A32,Tabelle1!$A$4:$BU$73,6,0)&lt;&gt;"",E$1,"")</f>
        <v/>
      </c>
      <c r="F32" t="str">
        <f>IF(VLOOKUP($A32,Tabelle1!$A$4:$BU$73,7,0)&lt;&gt;"",F$1,"")</f>
        <v/>
      </c>
      <c r="G32" t="str">
        <f>IF(VLOOKUP($A32,Tabelle1!$A$4:$BU$73,8,0)&lt;&gt;"",G$1,"")</f>
        <v/>
      </c>
      <c r="H32" t="str">
        <f>IF(VLOOKUP($A32,Tabelle1!$A$4:$BU$73,9,0)&lt;&gt;"",H$1,"")</f>
        <v/>
      </c>
      <c r="I32" t="str">
        <f>IF(VLOOKUP($A32,Tabelle1!$A$4:$BU$73,10,0)&lt;&gt;"",I$1,"")</f>
        <v/>
      </c>
      <c r="J32" t="str">
        <f>IF(VLOOKUP($A32,Tabelle1!$A$4:$BU$73,11,0)&lt;&gt;"",J$1,"")</f>
        <v/>
      </c>
      <c r="K32" t="str">
        <f>IF(VLOOKUP($A32,Tabelle1!$A$4:$BU$73,12,0)&lt;&gt;"",K$1,"")</f>
        <v/>
      </c>
      <c r="L32" t="str">
        <f>IF(VLOOKUP($A32,Tabelle1!$A$4:$BU$73,13,0)&lt;&gt;"",L$1,"")</f>
        <v>Esparsette</v>
      </c>
      <c r="M32" t="str">
        <f>IF(VLOOKUP($A32,Tabelle1!$A$4:$BU$73,14,0)&lt;&gt;"",M$1,"")</f>
        <v/>
      </c>
      <c r="N32" t="str">
        <f>IF(VLOOKUP($A32,Tabelle1!$A$4:$BU$73,15,0)&lt;&gt;"",N$1,"")</f>
        <v/>
      </c>
      <c r="O32" t="str">
        <f>IF(VLOOKUP($A32,Tabelle1!$A$4:$BU$73,16,0)&lt;&gt;"",O$1,"")</f>
        <v/>
      </c>
      <c r="P32" t="str">
        <f>IF(VLOOKUP($A32,Tabelle1!$A$4:$BU$73,17,0)&lt;&gt;"",P$1,"")</f>
        <v/>
      </c>
      <c r="Q32" t="str">
        <f>IF(VLOOKUP($A32,Tabelle1!$A$4:$BU$73,18,0)&lt;&gt;"",Q$1,"")</f>
        <v/>
      </c>
      <c r="R32" t="str">
        <f>IF(VLOOKUP($A32,Tabelle1!$A$4:$BU$73,19,0)&lt;&gt;"",R$1,"")</f>
        <v/>
      </c>
      <c r="S32" t="str">
        <f>IF(VLOOKUP($A32,Tabelle1!$A$4:$BU$73,20,0)&lt;&gt;"",S$1,"")</f>
        <v>Hornklee</v>
      </c>
      <c r="T32" t="str">
        <f>IF(VLOOKUP($A32,Tabelle1!$A$4:$BU$73,21,0)&lt;&gt;"",T$1,"")</f>
        <v>Inkarnatklee</v>
      </c>
      <c r="U32" t="str">
        <f>IF(VLOOKUP($A32,Tabelle1!$A$4:$BU$73,22,0)&lt;&gt;"",U$1,"")</f>
        <v/>
      </c>
      <c r="V32" t="str">
        <f>IF(VLOOKUP($A32,Tabelle1!$A$4:$BU$73,23,0)&lt;&gt;"",V$1,"")</f>
        <v/>
      </c>
      <c r="W32" t="str">
        <f>IF(VLOOKUP($A32,Tabelle1!$A$4:$BU$73,24,0)&lt;&gt;"",W$1,"")</f>
        <v/>
      </c>
      <c r="X32" t="str">
        <f>IF(VLOOKUP($A32,Tabelle1!$A$4:$BU$73,25,0)&lt;&gt;"",X$1,"")</f>
        <v>Malve</v>
      </c>
      <c r="Y32" t="str">
        <f>IF(VLOOKUP($A32,Tabelle1!$A$4:$BU$73,26,0)&lt;&gt;"",Y$1,"")</f>
        <v>Leindotter</v>
      </c>
      <c r="Z32" t="str">
        <f>IF(VLOOKUP($A32,Tabelle1!$A$4:$BU$73,27,0)&lt;&gt;"",Z$1,"")</f>
        <v/>
      </c>
      <c r="AA32" t="str">
        <f>IF(VLOOKUP($A32,Tabelle1!$A$4:$BU$73,28,0)&lt;&gt;"",AA$1,"")</f>
        <v>Luzerne</v>
      </c>
      <c r="AB32" t="str">
        <f>IF(VLOOKUP($A32,Tabelle1!$A$4:$BU$73,29,0)&lt;&gt;"",AB$1,"")</f>
        <v/>
      </c>
      <c r="AC32" t="str">
        <f>IF(VLOOKUP($A32,Tabelle1!$A$4:$BU$73,30,0)&lt;&gt;"",AC$1,"")</f>
        <v/>
      </c>
      <c r="AD32" t="str">
        <f>IF(VLOOKUP($A32,Tabelle1!$A$4:$BU$73,31,0)&lt;&gt;"",AD$1,"")</f>
        <v/>
      </c>
      <c r="AE32" t="str">
        <f>IF(VLOOKUP($A32,Tabelle1!$A$4:$BU$73,32,0)&lt;&gt;"",AE$1,"")</f>
        <v/>
      </c>
      <c r="AF32" t="str">
        <f>IF(VLOOKUP($A32,Tabelle1!$A$4:$BU$73,33,0)&lt;&gt;"",AF$1,"")</f>
        <v/>
      </c>
      <c r="AG32" t="str">
        <f>IF(VLOOKUP($A32,Tabelle1!$A$4:$BU$73,34,0)&lt;&gt;"",AG$1,"")</f>
        <v/>
      </c>
      <c r="AH32" t="str">
        <f>IF(VLOOKUP($A32,Tabelle1!$A$4:$BU$73,35,0)&lt;&gt;"",AH$1,"")</f>
        <v/>
      </c>
      <c r="AI32" t="str">
        <f>IF(VLOOKUP($A32,Tabelle1!$A$4:$BU$73,36,0)&lt;&gt;"",AI$1,"")</f>
        <v/>
      </c>
      <c r="AJ32" t="str">
        <f>IF(VLOOKUP($A32,Tabelle1!$A$4:$BU$73,37,0)&lt;&gt;"",AJ$1,"")</f>
        <v/>
      </c>
      <c r="AK32" t="str">
        <f>IF(VLOOKUP($A32,Tabelle1!$A$4:$BU$73,38,0)&lt;&gt;"",AK$1,"")</f>
        <v>Rotklee</v>
      </c>
      <c r="AL32" t="str">
        <f>IF(VLOOKUP($A32,Tabelle1!$A$4:$BU$73,39,0)&lt;&gt;"",AL$1,"")</f>
        <v/>
      </c>
      <c r="AM32" t="str">
        <f>IF(VLOOKUP($A32,Tabelle1!$A$4:$BU$73,40,0)&lt;&gt;"",AM$1,"")</f>
        <v/>
      </c>
      <c r="AN32" t="str">
        <f>IF(VLOOKUP($A32,Tabelle1!$A$4:$BU$73,41,0)&lt;&gt;"",AN$1,"")</f>
        <v/>
      </c>
      <c r="AO32" t="str">
        <f>IF(VLOOKUP($A32,Tabelle1!$A$4:$BU$73,42,0)&lt;&gt;"",AO$1,"")</f>
        <v/>
      </c>
      <c r="AP32" t="str">
        <f>IF(VLOOKUP($A32,Tabelle1!$A$4:$BU$73,43,0)&lt;&gt;"",AP$1,"")</f>
        <v/>
      </c>
      <c r="AQ32" t="str">
        <f>IF(VLOOKUP($A32,Tabelle1!$A$4:$BU$73,44,0)&lt;&gt;"",AQ$1,"")</f>
        <v/>
      </c>
      <c r="AR32" t="str">
        <f>IF(VLOOKUP($A32,Tabelle1!$A$4:$BU$73,45,0)&lt;&gt;"",AR$1,"")</f>
        <v>Senf</v>
      </c>
      <c r="AS32" t="str">
        <f>IF(VLOOKUP($A32,Tabelle1!$A$4:$BU$73,46,0)&lt;&gt;"",AS$1,"")</f>
        <v/>
      </c>
      <c r="AT32" t="str">
        <f>IF(VLOOKUP($A32,Tabelle1!$A$4:$BU$73,47,0)&lt;&gt;"",AT$1,"")</f>
        <v/>
      </c>
      <c r="AU32" t="str">
        <f>IF(VLOOKUP($A32,Tabelle1!$A$4:$BU$73,48,0)&lt;&gt;"",AU$1,"")</f>
        <v/>
      </c>
      <c r="AV32" t="str">
        <f>IF(VLOOKUP($A32,Tabelle1!$A$4:$BU$73,49,0)&lt;&gt;"",AV$1,"")</f>
        <v/>
      </c>
      <c r="AW32" t="str">
        <f>IF(VLOOKUP($A32,Tabelle1!$A$4:$BU$73,50,0)&lt;&gt;"",AW$1,"")</f>
        <v/>
      </c>
      <c r="AX32" t="str">
        <f>IF(VLOOKUP($A32,Tabelle1!$A$4:$BU$73,51,0)&lt;&gt;"",AX$1,"")</f>
        <v/>
      </c>
      <c r="AY32" t="str">
        <f>IF(VLOOKUP($A32,Tabelle1!$A$4:$BU$73,52,0)&lt;&gt;"",AY$1,"")</f>
        <v/>
      </c>
      <c r="AZ32" t="str">
        <f>IF(VLOOKUP($A32,Tabelle1!$A$4:$BU$73,53,0)&lt;&gt;"",AZ$1,"")</f>
        <v>Weißklee</v>
      </c>
      <c r="BA32" t="str">
        <f>IF(VLOOKUP($A32,Tabelle1!$A$4:$BU$73,54,0)&lt;&gt;"",BA$1,"")</f>
        <v/>
      </c>
      <c r="BB32" t="str">
        <f>IF(VLOOKUP($A32,Tabelle1!$A$4:$BU$73,55,0)&lt;&gt;"",BB$1,"")</f>
        <v/>
      </c>
      <c r="BC32" t="str">
        <f>IF(VLOOKUP($A32,Tabelle1!$A$4:$BU$73,56,0)&lt;&gt;"",BC$1,"")</f>
        <v/>
      </c>
      <c r="BD32" t="str">
        <f>IF(VLOOKUP($A32,Tabelle1!$A$4:$BU$73,57,0)&lt;&gt;"",BD$1,"")</f>
        <v/>
      </c>
      <c r="BE32" t="str">
        <f>IF(VLOOKUP($A32,Tabelle1!$A$4:$BU$73,58,0)&lt;&gt;"",BE$1,"")</f>
        <v/>
      </c>
      <c r="BF32" t="str">
        <f>IF(VLOOKUP($A32,Tabelle1!$A$4:$BU$73,59,0)&lt;&gt;"",BF$1,"")</f>
        <v/>
      </c>
      <c r="BG32" t="str">
        <f>IF(VLOOKUP($A32,Tabelle1!$A$4:$BU$73,60,0)&lt;&gt;"",BG$1,"")</f>
        <v/>
      </c>
      <c r="BH32" t="str">
        <f>IF(VLOOKUP($A32,Tabelle1!$A$4:$BU$73,61,0)&lt;&gt;"",BH$1,"")</f>
        <v/>
      </c>
      <c r="BI32" t="str">
        <f>IF(VLOOKUP($A32,Tabelle1!$A$4:$BU$73,62,0)&lt;&gt;"",BI$1,"")</f>
        <v/>
      </c>
      <c r="BJ32" t="str">
        <f>IF(VLOOKUP($A32,Tabelle1!$A$4:$BU$73,63,0)&lt;&gt;"",BJ$1,"")</f>
        <v/>
      </c>
      <c r="BK32" t="str">
        <f>IF(VLOOKUP($A32,Tabelle1!$A$4:$BU$73,64,0)&lt;&gt;"",BK$1,"")</f>
        <v/>
      </c>
      <c r="BL32" t="str">
        <f>IF(VLOOKUP($A32,Tabelle1!$A$4:$BU$73,65,0)&lt;&gt;"",BL$1,"")</f>
        <v/>
      </c>
      <c r="BM32" t="str">
        <f>IF(VLOOKUP($A32,Tabelle1!$A$4:$BU$73,66,0)&lt;&gt;"",BM$1,"")</f>
        <v/>
      </c>
      <c r="BN32" t="str">
        <f>IF(VLOOKUP($A32,Tabelle1!$A$4:$BU$73,67,0)&lt;&gt;"",BN$1,"")</f>
        <v/>
      </c>
      <c r="BO32" t="str">
        <f>IF(VLOOKUP($A32,Tabelle1!$A$4:$BU$73,68,0)&lt;&gt;"",BO$1,"")</f>
        <v/>
      </c>
      <c r="BP32" t="str">
        <f>IF(VLOOKUP($A32,Tabelle1!$A$4:$BU$73,69,0)&lt;&gt;"",BP$1,"")</f>
        <v/>
      </c>
      <c r="BQ32" t="str">
        <f>IF(VLOOKUP($A32,Tabelle1!$A$4:$BU$73,70,0)&lt;&gt;"",BQ$1,"")</f>
        <v/>
      </c>
      <c r="BR32" t="str">
        <f>IF(VLOOKUP($A32,Tabelle1!$A$4:$BU$73,71,0)&lt;&gt;"",BR$1,"")</f>
        <v/>
      </c>
      <c r="BS32" t="str">
        <f>IF(VLOOKUP($A32,Tabelle1!$A$4:$BU$73,72,0)&lt;&gt;"",BS$1,"")</f>
        <v/>
      </c>
      <c r="BT32" t="str">
        <f>IF(VLOOKUP($A32,Tabelle1!$A$4:$BU$73,73,0)&lt;&gt;"",BT$1,"")</f>
        <v/>
      </c>
    </row>
    <row r="33" spans="1:72" x14ac:dyDescent="0.2">
      <c r="A33" t="s">
        <v>84</v>
      </c>
      <c r="B33">
        <v>30</v>
      </c>
      <c r="C33">
        <v>8.8000000000000007</v>
      </c>
      <c r="D33" t="str">
        <f>IF(VLOOKUP($A33,Tabelle1!$A$4:$BU$73,5,0)&lt;&gt;"",D$1,"")</f>
        <v/>
      </c>
      <c r="E33" t="str">
        <f>IF(VLOOKUP($A33,Tabelle1!$A$4:$BU$73,6,0)&lt;&gt;"",E$1,"")</f>
        <v/>
      </c>
      <c r="F33" t="str">
        <f>IF(VLOOKUP($A33,Tabelle1!$A$4:$BU$73,7,0)&lt;&gt;"",F$1,"")</f>
        <v/>
      </c>
      <c r="G33" t="str">
        <f>IF(VLOOKUP($A33,Tabelle1!$A$4:$BU$73,8,0)&lt;&gt;"",G$1,"")</f>
        <v/>
      </c>
      <c r="H33" t="str">
        <f>IF(VLOOKUP($A33,Tabelle1!$A$4:$BU$73,9,0)&lt;&gt;"",H$1,"")</f>
        <v/>
      </c>
      <c r="I33" t="str">
        <f>IF(VLOOKUP($A33,Tabelle1!$A$4:$BU$73,10,0)&lt;&gt;"",I$1,"")</f>
        <v xml:space="preserve">Buchweizen </v>
      </c>
      <c r="J33" t="str">
        <f>IF(VLOOKUP($A33,Tabelle1!$A$4:$BU$73,11,0)&lt;&gt;"",J$1,"")</f>
        <v/>
      </c>
      <c r="K33" t="str">
        <f>IF(VLOOKUP($A33,Tabelle1!$A$4:$BU$73,12,0)&lt;&gt;"",K$1,"")</f>
        <v/>
      </c>
      <c r="L33" t="str">
        <f>IF(VLOOKUP($A33,Tabelle1!$A$4:$BU$73,13,0)&lt;&gt;"",L$1,"")</f>
        <v/>
      </c>
      <c r="M33" t="str">
        <f>IF(VLOOKUP($A33,Tabelle1!$A$4:$BU$73,14,0)&lt;&gt;"",M$1,"")</f>
        <v/>
      </c>
      <c r="N33" t="str">
        <f>IF(VLOOKUP($A33,Tabelle1!$A$4:$BU$73,15,0)&lt;&gt;"",N$1,"")</f>
        <v>Futterkohl</v>
      </c>
      <c r="O33" t="str">
        <f>IF(VLOOKUP($A33,Tabelle1!$A$4:$BU$73,16,0)&lt;&gt;"",O$1,"")</f>
        <v/>
      </c>
      <c r="P33" t="str">
        <f>IF(VLOOKUP($A33,Tabelle1!$A$4:$BU$73,17,0)&lt;&gt;"",P$1,"")</f>
        <v/>
      </c>
      <c r="Q33" t="str">
        <f>IF(VLOOKUP($A33,Tabelle1!$A$4:$BU$73,18,0)&lt;&gt;"",Q$1,"")</f>
        <v/>
      </c>
      <c r="R33" t="str">
        <f>IF(VLOOKUP($A33,Tabelle1!$A$4:$BU$73,19,0)&lt;&gt;"",R$1,"")</f>
        <v/>
      </c>
      <c r="S33" t="str">
        <f>IF(VLOOKUP($A33,Tabelle1!$A$4:$BU$73,20,0)&lt;&gt;"",S$1,"")</f>
        <v>Hornklee</v>
      </c>
      <c r="T33" t="str">
        <f>IF(VLOOKUP($A33,Tabelle1!$A$4:$BU$73,21,0)&lt;&gt;"",T$1,"")</f>
        <v>Inkarnatklee</v>
      </c>
      <c r="U33" t="str">
        <f>IF(VLOOKUP($A33,Tabelle1!$A$4:$BU$73,22,0)&lt;&gt;"",U$1,"")</f>
        <v/>
      </c>
      <c r="V33" t="str">
        <f>IF(VLOOKUP($A33,Tabelle1!$A$4:$BU$73,23,0)&lt;&gt;"",V$1,"")</f>
        <v>Kresse</v>
      </c>
      <c r="W33" t="str">
        <f>IF(VLOOKUP($A33,Tabelle1!$A$4:$BU$73,24,0)&lt;&gt;"",W$1,"")</f>
        <v/>
      </c>
      <c r="X33" t="str">
        <f>IF(VLOOKUP($A33,Tabelle1!$A$4:$BU$73,25,0)&lt;&gt;"",X$1,"")</f>
        <v>Malve</v>
      </c>
      <c r="Y33" t="str">
        <f>IF(VLOOKUP($A33,Tabelle1!$A$4:$BU$73,26,0)&lt;&gt;"",Y$1,"")</f>
        <v>Leindotter</v>
      </c>
      <c r="Z33" t="str">
        <f>IF(VLOOKUP($A33,Tabelle1!$A$4:$BU$73,27,0)&lt;&gt;"",Z$1,"")</f>
        <v/>
      </c>
      <c r="AA33" t="str">
        <f>IF(VLOOKUP($A33,Tabelle1!$A$4:$BU$73,28,0)&lt;&gt;"",AA$1,"")</f>
        <v>Luzerne</v>
      </c>
      <c r="AB33" t="str">
        <f>IF(VLOOKUP($A33,Tabelle1!$A$4:$BU$73,29,0)&lt;&gt;"",AB$1,"")</f>
        <v/>
      </c>
      <c r="AC33" t="str">
        <f>IF(VLOOKUP($A33,Tabelle1!$A$4:$BU$73,30,0)&lt;&gt;"",AC$1,"")</f>
        <v/>
      </c>
      <c r="AD33" t="str">
        <f>IF(VLOOKUP($A33,Tabelle1!$A$4:$BU$73,31,0)&lt;&gt;"",AD$1,"")</f>
        <v/>
      </c>
      <c r="AE33" t="str">
        <f>IF(VLOOKUP($A33,Tabelle1!$A$4:$BU$73,32,0)&lt;&gt;"",AE$1,"")</f>
        <v/>
      </c>
      <c r="AF33" t="str">
        <f>IF(VLOOKUP($A33,Tabelle1!$A$4:$BU$73,33,0)&lt;&gt;"",AF$1,"")</f>
        <v/>
      </c>
      <c r="AG33" t="str">
        <f>IF(VLOOKUP($A33,Tabelle1!$A$4:$BU$73,34,0)&lt;&gt;"",AG$1,"")</f>
        <v/>
      </c>
      <c r="AH33" t="str">
        <f>IF(VLOOKUP($A33,Tabelle1!$A$4:$BU$73,35,0)&lt;&gt;"",AH$1,"")</f>
        <v>Phazelie</v>
      </c>
      <c r="AI33" t="str">
        <f>IF(VLOOKUP($A33,Tabelle1!$A$4:$BU$73,36,0)&lt;&gt;"",AI$1,"")</f>
        <v/>
      </c>
      <c r="AJ33" t="str">
        <f>IF(VLOOKUP($A33,Tabelle1!$A$4:$BU$73,37,0)&lt;&gt;"",AJ$1,"")</f>
        <v xml:space="preserve">Ringelblume </v>
      </c>
      <c r="AK33" t="str">
        <f>IF(VLOOKUP($A33,Tabelle1!$A$4:$BU$73,38,0)&lt;&gt;"",AK$1,"")</f>
        <v>Rotklee</v>
      </c>
      <c r="AL33" t="str">
        <f>IF(VLOOKUP($A33,Tabelle1!$A$4:$BU$73,39,0)&lt;&gt;"",AL$1,"")</f>
        <v/>
      </c>
      <c r="AM33" t="str">
        <f>IF(VLOOKUP($A33,Tabelle1!$A$4:$BU$73,40,0)&lt;&gt;"",AM$1,"")</f>
        <v/>
      </c>
      <c r="AN33" t="str">
        <f>IF(VLOOKUP($A33,Tabelle1!$A$4:$BU$73,41,0)&lt;&gt;"",AN$1,"")</f>
        <v/>
      </c>
      <c r="AO33" t="str">
        <f>IF(VLOOKUP($A33,Tabelle1!$A$4:$BU$73,42,0)&lt;&gt;"",AO$1,"")</f>
        <v/>
      </c>
      <c r="AP33" t="str">
        <f>IF(VLOOKUP($A33,Tabelle1!$A$4:$BU$73,43,0)&lt;&gt;"",AP$1,"")</f>
        <v/>
      </c>
      <c r="AQ33" t="str">
        <f>IF(VLOOKUP($A33,Tabelle1!$A$4:$BU$73,44,0)&lt;&gt;"",AQ$1,"")</f>
        <v/>
      </c>
      <c r="AR33" t="str">
        <f>IF(VLOOKUP($A33,Tabelle1!$A$4:$BU$73,45,0)&lt;&gt;"",AR$1,"")</f>
        <v>Senf</v>
      </c>
      <c r="AS33" t="str">
        <f>IF(VLOOKUP($A33,Tabelle1!$A$4:$BU$73,46,0)&lt;&gt;"",AS$1,"")</f>
        <v/>
      </c>
      <c r="AT33" t="str">
        <f>IF(VLOOKUP($A33,Tabelle1!$A$4:$BU$73,47,0)&lt;&gt;"",AT$1,"")</f>
        <v/>
      </c>
      <c r="AU33" t="str">
        <f>IF(VLOOKUP($A33,Tabelle1!$A$4:$BU$73,48,0)&lt;&gt;"",AU$1,"")</f>
        <v>Sonnenblume</v>
      </c>
      <c r="AV33" t="str">
        <f>IF(VLOOKUP($A33,Tabelle1!$A$4:$BU$73,49,0)&lt;&gt;"",AV$1,"")</f>
        <v/>
      </c>
      <c r="AW33" t="str">
        <f>IF(VLOOKUP($A33,Tabelle1!$A$4:$BU$73,50,0)&lt;&gt;"",AW$1,"")</f>
        <v/>
      </c>
      <c r="AX33" t="str">
        <f>IF(VLOOKUP($A33,Tabelle1!$A$4:$BU$73,51,0)&lt;&gt;"",AX$1,"")</f>
        <v/>
      </c>
      <c r="AY33" t="str">
        <f>IF(VLOOKUP($A33,Tabelle1!$A$4:$BU$73,52,0)&lt;&gt;"",AY$1,"")</f>
        <v/>
      </c>
      <c r="AZ33" t="str">
        <f>IF(VLOOKUP($A33,Tabelle1!$A$4:$BU$73,53,0)&lt;&gt;"",AZ$1,"")</f>
        <v>Weißklee</v>
      </c>
      <c r="BA33" t="str">
        <f>IF(VLOOKUP($A33,Tabelle1!$A$4:$BU$73,54,0)&lt;&gt;"",BA$1,"")</f>
        <v/>
      </c>
      <c r="BB33" t="str">
        <f>IF(VLOOKUP($A33,Tabelle1!$A$4:$BU$73,55,0)&lt;&gt;"",BB$1,"")</f>
        <v/>
      </c>
      <c r="BC33" t="str">
        <f>IF(VLOOKUP($A33,Tabelle1!$A$4:$BU$73,56,0)&lt;&gt;"",BC$1,"")</f>
        <v/>
      </c>
      <c r="BD33" t="str">
        <f>IF(VLOOKUP($A33,Tabelle1!$A$4:$BU$73,57,0)&lt;&gt;"",BD$1,"")</f>
        <v/>
      </c>
      <c r="BE33" t="str">
        <f>IF(VLOOKUP($A33,Tabelle1!$A$4:$BU$73,58,0)&lt;&gt;"",BE$1,"")</f>
        <v/>
      </c>
      <c r="BF33" t="str">
        <f>IF(VLOOKUP($A33,Tabelle1!$A$4:$BU$73,59,0)&lt;&gt;"",BF$1,"")</f>
        <v/>
      </c>
      <c r="BG33" t="str">
        <f>IF(VLOOKUP($A33,Tabelle1!$A$4:$BU$73,60,0)&lt;&gt;"",BG$1,"")</f>
        <v/>
      </c>
      <c r="BH33" t="str">
        <f>IF(VLOOKUP($A33,Tabelle1!$A$4:$BU$73,61,0)&lt;&gt;"",BH$1,"")</f>
        <v/>
      </c>
      <c r="BI33" t="str">
        <f>IF(VLOOKUP($A33,Tabelle1!$A$4:$BU$73,62,0)&lt;&gt;"",BI$1,"")</f>
        <v/>
      </c>
      <c r="BJ33" t="str">
        <f>IF(VLOOKUP($A33,Tabelle1!$A$4:$BU$73,63,0)&lt;&gt;"",BJ$1,"")</f>
        <v/>
      </c>
      <c r="BK33" t="str">
        <f>IF(VLOOKUP($A33,Tabelle1!$A$4:$BU$73,64,0)&lt;&gt;"",BK$1,"")</f>
        <v>Kümmel</v>
      </c>
      <c r="BL33" t="str">
        <f>IF(VLOOKUP($A33,Tabelle1!$A$4:$BU$73,65,0)&lt;&gt;"",BL$1,"")</f>
        <v>Koriander</v>
      </c>
      <c r="BM33" t="str">
        <f>IF(VLOOKUP($A33,Tabelle1!$A$4:$BU$73,66,0)&lt;&gt;"",BM$1,"")</f>
        <v/>
      </c>
      <c r="BN33" t="str">
        <f>IF(VLOOKUP($A33,Tabelle1!$A$4:$BU$73,67,0)&lt;&gt;"",BN$1,"")</f>
        <v/>
      </c>
      <c r="BO33" t="str">
        <f>IF(VLOOKUP($A33,Tabelle1!$A$4:$BU$73,68,0)&lt;&gt;"",BO$1,"")</f>
        <v/>
      </c>
      <c r="BP33" t="str">
        <f>IF(VLOOKUP($A33,Tabelle1!$A$4:$BU$73,69,0)&lt;&gt;"",BP$1,"")</f>
        <v/>
      </c>
      <c r="BQ33" t="str">
        <f>IF(VLOOKUP($A33,Tabelle1!$A$4:$BU$73,70,0)&lt;&gt;"",BQ$1,"")</f>
        <v/>
      </c>
      <c r="BR33" t="str">
        <f>IF(VLOOKUP($A33,Tabelle1!$A$4:$BU$73,71,0)&lt;&gt;"",BR$1,"")</f>
        <v/>
      </c>
      <c r="BS33" t="str">
        <f>IF(VLOOKUP($A33,Tabelle1!$A$4:$BU$73,72,0)&lt;&gt;"",BS$1,"")</f>
        <v>Fenchel</v>
      </c>
      <c r="BT33" t="str">
        <f>IF(VLOOKUP($A33,Tabelle1!$A$4:$BU$73,73,0)&lt;&gt;"",BT$1,"")</f>
        <v/>
      </c>
    </row>
    <row r="34" spans="1:72" x14ac:dyDescent="0.2">
      <c r="A34" t="s">
        <v>361</v>
      </c>
      <c r="B34">
        <v>20</v>
      </c>
      <c r="C34">
        <v>5.89</v>
      </c>
      <c r="D34" t="str">
        <f>IF(VLOOKUP($A34,Tabelle1!$A$4:$BU$73,5,0)&lt;&gt;"",D$1,"")</f>
        <v/>
      </c>
      <c r="E34" t="str">
        <f>IF(VLOOKUP($A34,Tabelle1!$A$4:$BU$73,6,0)&lt;&gt;"",E$1,"")</f>
        <v/>
      </c>
      <c r="F34" t="str">
        <f>IF(VLOOKUP($A34,Tabelle1!$A$4:$BU$73,7,0)&lt;&gt;"",F$1,"")</f>
        <v>Alexandrinerklee</v>
      </c>
      <c r="G34" t="str">
        <f>IF(VLOOKUP($A34,Tabelle1!$A$4:$BU$73,8,0)&lt;&gt;"",G$1,"")</f>
        <v/>
      </c>
      <c r="H34" t="str">
        <f>IF(VLOOKUP($A34,Tabelle1!$A$4:$BU$73,9,0)&lt;&gt;"",H$1,"")</f>
        <v/>
      </c>
      <c r="I34" t="str">
        <f>IF(VLOOKUP($A34,Tabelle1!$A$4:$BU$73,10,0)&lt;&gt;"",I$1,"")</f>
        <v xml:space="preserve">Buchweizen </v>
      </c>
      <c r="J34" t="str">
        <f>IF(VLOOKUP($A34,Tabelle1!$A$4:$BU$73,11,0)&lt;&gt;"",J$1,"")</f>
        <v/>
      </c>
      <c r="K34" t="str">
        <f>IF(VLOOKUP($A34,Tabelle1!$A$4:$BU$73,12,0)&lt;&gt;"",K$1,"")</f>
        <v/>
      </c>
      <c r="L34" t="str">
        <f>IF(VLOOKUP($A34,Tabelle1!$A$4:$BU$73,13,0)&lt;&gt;"",L$1,"")</f>
        <v/>
      </c>
      <c r="M34" t="str">
        <f>IF(VLOOKUP($A34,Tabelle1!$A$4:$BU$73,14,0)&lt;&gt;"",M$1,"")</f>
        <v/>
      </c>
      <c r="N34" t="str">
        <f>IF(VLOOKUP($A34,Tabelle1!$A$4:$BU$73,15,0)&lt;&gt;"",N$1,"")</f>
        <v>Futterkohl</v>
      </c>
      <c r="O34" t="str">
        <f>IF(VLOOKUP($A34,Tabelle1!$A$4:$BU$73,16,0)&lt;&gt;"",O$1,"")</f>
        <v/>
      </c>
      <c r="P34" t="str">
        <f>IF(VLOOKUP($A34,Tabelle1!$A$4:$BU$73,17,0)&lt;&gt;"",P$1,"")</f>
        <v/>
      </c>
      <c r="Q34" t="str">
        <f>IF(VLOOKUP($A34,Tabelle1!$A$4:$BU$73,18,0)&lt;&gt;"",Q$1,"")</f>
        <v/>
      </c>
      <c r="R34" t="str">
        <f>IF(VLOOKUP($A34,Tabelle1!$A$4:$BU$73,19,0)&lt;&gt;"",R$1,"")</f>
        <v/>
      </c>
      <c r="S34" t="str">
        <f>IF(VLOOKUP($A34,Tabelle1!$A$4:$BU$73,20,0)&lt;&gt;"",S$1,"")</f>
        <v/>
      </c>
      <c r="T34" t="str">
        <f>IF(VLOOKUP($A34,Tabelle1!$A$4:$BU$73,21,0)&lt;&gt;"",T$1,"")</f>
        <v>Inkarnatklee</v>
      </c>
      <c r="U34" t="str">
        <f>IF(VLOOKUP($A34,Tabelle1!$A$4:$BU$73,22,0)&lt;&gt;"",U$1,"")</f>
        <v/>
      </c>
      <c r="V34" t="str">
        <f>IF(VLOOKUP($A34,Tabelle1!$A$4:$BU$73,23,0)&lt;&gt;"",V$1,"")</f>
        <v/>
      </c>
      <c r="W34" t="str">
        <f>IF(VLOOKUP($A34,Tabelle1!$A$4:$BU$73,24,0)&lt;&gt;"",W$1,"")</f>
        <v/>
      </c>
      <c r="X34" t="str">
        <f>IF(VLOOKUP($A34,Tabelle1!$A$4:$BU$73,25,0)&lt;&gt;"",X$1,"")</f>
        <v>Malve</v>
      </c>
      <c r="Y34" t="str">
        <f>IF(VLOOKUP($A34,Tabelle1!$A$4:$BU$73,26,0)&lt;&gt;"",Y$1,"")</f>
        <v>Leindotter</v>
      </c>
      <c r="Z34" t="str">
        <f>IF(VLOOKUP($A34,Tabelle1!$A$4:$BU$73,27,0)&lt;&gt;"",Z$1,"")</f>
        <v/>
      </c>
      <c r="AA34" t="str">
        <f>IF(VLOOKUP($A34,Tabelle1!$A$4:$BU$73,28,0)&lt;&gt;"",AA$1,"")</f>
        <v>Luzerne</v>
      </c>
      <c r="AB34" t="str">
        <f>IF(VLOOKUP($A34,Tabelle1!$A$4:$BU$73,29,0)&lt;&gt;"",AB$1,"")</f>
        <v/>
      </c>
      <c r="AC34" t="str">
        <f>IF(VLOOKUP($A34,Tabelle1!$A$4:$BU$73,30,0)&lt;&gt;"",AC$1,"")</f>
        <v/>
      </c>
      <c r="AD34" t="str">
        <f>IF(VLOOKUP($A34,Tabelle1!$A$4:$BU$73,31,0)&lt;&gt;"",AD$1,"")</f>
        <v/>
      </c>
      <c r="AE34" t="str">
        <f>IF(VLOOKUP($A34,Tabelle1!$A$4:$BU$73,32,0)&lt;&gt;"",AE$1,"")</f>
        <v/>
      </c>
      <c r="AF34" t="str">
        <f>IF(VLOOKUP($A34,Tabelle1!$A$4:$BU$73,33,0)&lt;&gt;"",AF$1,"")</f>
        <v/>
      </c>
      <c r="AG34" t="str">
        <f>IF(VLOOKUP($A34,Tabelle1!$A$4:$BU$73,34,0)&lt;&gt;"",AG$1,"")</f>
        <v/>
      </c>
      <c r="AH34" t="str">
        <f>IF(VLOOKUP($A34,Tabelle1!$A$4:$BU$73,35,0)&lt;&gt;"",AH$1,"")</f>
        <v>Phazelie</v>
      </c>
      <c r="AI34" t="str">
        <f>IF(VLOOKUP($A34,Tabelle1!$A$4:$BU$73,36,0)&lt;&gt;"",AI$1,"")</f>
        <v/>
      </c>
      <c r="AJ34" t="str">
        <f>IF(VLOOKUP($A34,Tabelle1!$A$4:$BU$73,37,0)&lt;&gt;"",AJ$1,"")</f>
        <v xml:space="preserve">Ringelblume </v>
      </c>
      <c r="AK34" t="str">
        <f>IF(VLOOKUP($A34,Tabelle1!$A$4:$BU$73,38,0)&lt;&gt;"",AK$1,"")</f>
        <v>Rotklee</v>
      </c>
      <c r="AL34" t="str">
        <f>IF(VLOOKUP($A34,Tabelle1!$A$4:$BU$73,39,0)&lt;&gt;"",AL$1,"")</f>
        <v/>
      </c>
      <c r="AM34" t="str">
        <f>IF(VLOOKUP($A34,Tabelle1!$A$4:$BU$73,40,0)&lt;&gt;"",AM$1,"")</f>
        <v/>
      </c>
      <c r="AN34" t="str">
        <f>IF(VLOOKUP($A34,Tabelle1!$A$4:$BU$73,41,0)&lt;&gt;"",AN$1,"")</f>
        <v/>
      </c>
      <c r="AO34" t="str">
        <f>IF(VLOOKUP($A34,Tabelle1!$A$4:$BU$73,42,0)&lt;&gt;"",AO$1,"")</f>
        <v/>
      </c>
      <c r="AP34" t="str">
        <f>IF(VLOOKUP($A34,Tabelle1!$A$4:$BU$73,43,0)&lt;&gt;"",AP$1,"")</f>
        <v/>
      </c>
      <c r="AQ34" t="str">
        <f>IF(VLOOKUP($A34,Tabelle1!$A$4:$BU$73,44,0)&lt;&gt;"",AQ$1,"")</f>
        <v>Schwedenklee</v>
      </c>
      <c r="AR34" t="str">
        <f>IF(VLOOKUP($A34,Tabelle1!$A$4:$BU$73,45,0)&lt;&gt;"",AR$1,"")</f>
        <v/>
      </c>
      <c r="AS34" t="str">
        <f>IF(VLOOKUP($A34,Tabelle1!$A$4:$BU$73,46,0)&lt;&gt;"",AS$1,"")</f>
        <v/>
      </c>
      <c r="AT34" t="str">
        <f>IF(VLOOKUP($A34,Tabelle1!$A$4:$BU$73,47,0)&lt;&gt;"",AT$1,"")</f>
        <v>Sommerfutterraps</v>
      </c>
      <c r="AU34" t="str">
        <f>IF(VLOOKUP($A34,Tabelle1!$A$4:$BU$73,48,0)&lt;&gt;"",AU$1,"")</f>
        <v/>
      </c>
      <c r="AV34" t="str">
        <f>IF(VLOOKUP($A34,Tabelle1!$A$4:$BU$73,49,0)&lt;&gt;"",AV$1,"")</f>
        <v/>
      </c>
      <c r="AW34" t="str">
        <f>IF(VLOOKUP($A34,Tabelle1!$A$4:$BU$73,50,0)&lt;&gt;"",AW$1,"")</f>
        <v/>
      </c>
      <c r="AX34" t="str">
        <f>IF(VLOOKUP($A34,Tabelle1!$A$4:$BU$73,51,0)&lt;&gt;"",AX$1,"")</f>
        <v/>
      </c>
      <c r="AY34" t="str">
        <f>IF(VLOOKUP($A34,Tabelle1!$A$4:$BU$73,52,0)&lt;&gt;"",AY$1,"")</f>
        <v/>
      </c>
      <c r="AZ34" t="str">
        <f>IF(VLOOKUP($A34,Tabelle1!$A$4:$BU$73,53,0)&lt;&gt;"",AZ$1,"")</f>
        <v/>
      </c>
      <c r="BA34" t="str">
        <f>IF(VLOOKUP($A34,Tabelle1!$A$4:$BU$73,54,0)&lt;&gt;"",BA$1,"")</f>
        <v/>
      </c>
      <c r="BB34" t="str">
        <f>IF(VLOOKUP($A34,Tabelle1!$A$4:$BU$73,55,0)&lt;&gt;"",BB$1,"")</f>
        <v/>
      </c>
      <c r="BC34" t="str">
        <f>IF(VLOOKUP($A34,Tabelle1!$A$4:$BU$73,56,0)&lt;&gt;"",BC$1,"")</f>
        <v/>
      </c>
      <c r="BD34" t="str">
        <f>IF(VLOOKUP($A34,Tabelle1!$A$4:$BU$73,57,0)&lt;&gt;"",BD$1,"")</f>
        <v>Winterwicke Pannonisch</v>
      </c>
      <c r="BE34" t="str">
        <f>IF(VLOOKUP($A34,Tabelle1!$A$4:$BU$73,58,0)&lt;&gt;"",BE$1,"")</f>
        <v/>
      </c>
      <c r="BF34" t="str">
        <f>IF(VLOOKUP($A34,Tabelle1!$A$4:$BU$73,59,0)&lt;&gt;"",BF$1,"")</f>
        <v/>
      </c>
      <c r="BG34" t="str">
        <f>IF(VLOOKUP($A34,Tabelle1!$A$4:$BU$73,60,0)&lt;&gt;"",BG$1,"")</f>
        <v/>
      </c>
      <c r="BH34" t="str">
        <f>IF(VLOOKUP($A34,Tabelle1!$A$4:$BU$73,61,0)&lt;&gt;"",BH$1,"")</f>
        <v>Seradella</v>
      </c>
      <c r="BI34" t="str">
        <f>IF(VLOOKUP($A34,Tabelle1!$A$4:$BU$73,62,0)&lt;&gt;"",BI$1,"")</f>
        <v/>
      </c>
      <c r="BJ34" t="str">
        <f>IF(VLOOKUP($A34,Tabelle1!$A$4:$BU$73,63,0)&lt;&gt;"",BJ$1,"")</f>
        <v/>
      </c>
      <c r="BK34" t="str">
        <f>IF(VLOOKUP($A34,Tabelle1!$A$4:$BU$73,64,0)&lt;&gt;"",BK$1,"")</f>
        <v>Kümmel</v>
      </c>
      <c r="BL34" t="str">
        <f>IF(VLOOKUP($A34,Tabelle1!$A$4:$BU$73,65,0)&lt;&gt;"",BL$1,"")</f>
        <v/>
      </c>
      <c r="BM34" t="str">
        <f>IF(VLOOKUP($A34,Tabelle1!$A$4:$BU$73,66,0)&lt;&gt;"",BM$1,"")</f>
        <v/>
      </c>
      <c r="BN34" t="str">
        <f>IF(VLOOKUP($A34,Tabelle1!$A$4:$BU$73,67,0)&lt;&gt;"",BN$1,"")</f>
        <v/>
      </c>
      <c r="BO34" t="str">
        <f>IF(VLOOKUP($A34,Tabelle1!$A$4:$BU$73,68,0)&lt;&gt;"",BO$1,"")</f>
        <v/>
      </c>
      <c r="BP34" t="str">
        <f>IF(VLOOKUP($A34,Tabelle1!$A$4:$BU$73,69,0)&lt;&gt;"",BP$1,"")</f>
        <v/>
      </c>
      <c r="BQ34" t="str">
        <f>IF(VLOOKUP($A34,Tabelle1!$A$4:$BU$73,70,0)&lt;&gt;"",BQ$1,"")</f>
        <v/>
      </c>
      <c r="BR34" t="str">
        <f>IF(VLOOKUP($A34,Tabelle1!$A$4:$BU$73,71,0)&lt;&gt;"",BR$1,"")</f>
        <v>Süßlupine</v>
      </c>
      <c r="BS34" t="str">
        <f>IF(VLOOKUP($A34,Tabelle1!$A$4:$BU$73,72,0)&lt;&gt;"",BS$1,"")</f>
        <v>Fenchel</v>
      </c>
      <c r="BT34" t="str">
        <f>IF(VLOOKUP($A34,Tabelle1!$A$4:$BU$73,73,0)&lt;&gt;"",BT$1,"")</f>
        <v/>
      </c>
    </row>
    <row r="35" spans="1:72" x14ac:dyDescent="0.2">
      <c r="A35" t="s">
        <v>85</v>
      </c>
      <c r="B35">
        <v>10</v>
      </c>
      <c r="C35">
        <v>9.1199999999999992</v>
      </c>
      <c r="D35" t="str">
        <f>IF(VLOOKUP($A35,Tabelle1!$A$4:$BU$73,5,0)&lt;&gt;"",D$1,"")</f>
        <v/>
      </c>
      <c r="E35" t="str">
        <f>IF(VLOOKUP($A35,Tabelle1!$A$4:$BU$73,6,0)&lt;&gt;"",E$1,"")</f>
        <v/>
      </c>
      <c r="F35" t="str">
        <f>IF(VLOOKUP($A35,Tabelle1!$A$4:$BU$73,7,0)&lt;&gt;"",F$1,"")</f>
        <v>Alexandrinerklee</v>
      </c>
      <c r="G35" t="str">
        <f>IF(VLOOKUP($A35,Tabelle1!$A$4:$BU$73,8,0)&lt;&gt;"",G$1,"")</f>
        <v/>
      </c>
      <c r="H35" t="str">
        <f>IF(VLOOKUP($A35,Tabelle1!$A$4:$BU$73,9,0)&lt;&gt;"",H$1,"")</f>
        <v/>
      </c>
      <c r="I35" t="str">
        <f>IF(VLOOKUP($A35,Tabelle1!$A$4:$BU$73,10,0)&lt;&gt;"",I$1,"")</f>
        <v/>
      </c>
      <c r="J35" t="str">
        <f>IF(VLOOKUP($A35,Tabelle1!$A$4:$BU$73,11,0)&lt;&gt;"",J$1,"")</f>
        <v/>
      </c>
      <c r="K35" t="str">
        <f>IF(VLOOKUP($A35,Tabelle1!$A$4:$BU$73,12,0)&lt;&gt;"",K$1,"")</f>
        <v/>
      </c>
      <c r="L35" t="str">
        <f>IF(VLOOKUP($A35,Tabelle1!$A$4:$BU$73,13,0)&lt;&gt;"",L$1,"")</f>
        <v/>
      </c>
      <c r="M35" t="str">
        <f>IF(VLOOKUP($A35,Tabelle1!$A$4:$BU$73,14,0)&lt;&gt;"",M$1,"")</f>
        <v/>
      </c>
      <c r="N35" t="str">
        <f>IF(VLOOKUP($A35,Tabelle1!$A$4:$BU$73,15,0)&lt;&gt;"",N$1,"")</f>
        <v/>
      </c>
      <c r="O35" t="str">
        <f>IF(VLOOKUP($A35,Tabelle1!$A$4:$BU$73,16,0)&lt;&gt;"",O$1,"")</f>
        <v/>
      </c>
      <c r="P35" t="str">
        <f>IF(VLOOKUP($A35,Tabelle1!$A$4:$BU$73,17,0)&lt;&gt;"",P$1,"")</f>
        <v/>
      </c>
      <c r="Q35" t="str">
        <f>IF(VLOOKUP($A35,Tabelle1!$A$4:$BU$73,18,0)&lt;&gt;"",Q$1,"")</f>
        <v/>
      </c>
      <c r="R35" t="str">
        <f>IF(VLOOKUP($A35,Tabelle1!$A$4:$BU$73,19,0)&lt;&gt;"",R$1,"")</f>
        <v/>
      </c>
      <c r="S35" t="str">
        <f>IF(VLOOKUP($A35,Tabelle1!$A$4:$BU$73,20,0)&lt;&gt;"",S$1,"")</f>
        <v/>
      </c>
      <c r="T35" t="str">
        <f>IF(VLOOKUP($A35,Tabelle1!$A$4:$BU$73,21,0)&lt;&gt;"",T$1,"")</f>
        <v>Inkarnatklee</v>
      </c>
      <c r="U35" t="str">
        <f>IF(VLOOKUP($A35,Tabelle1!$A$4:$BU$73,22,0)&lt;&gt;"",U$1,"")</f>
        <v/>
      </c>
      <c r="V35" t="str">
        <f>IF(VLOOKUP($A35,Tabelle1!$A$4:$BU$73,23,0)&lt;&gt;"",V$1,"")</f>
        <v/>
      </c>
      <c r="W35" t="str">
        <f>IF(VLOOKUP($A35,Tabelle1!$A$4:$BU$73,24,0)&lt;&gt;"",W$1,"")</f>
        <v/>
      </c>
      <c r="X35" t="str">
        <f>IF(VLOOKUP($A35,Tabelle1!$A$4:$BU$73,25,0)&lt;&gt;"",X$1,"")</f>
        <v/>
      </c>
      <c r="Y35" t="str">
        <f>IF(VLOOKUP($A35,Tabelle1!$A$4:$BU$73,26,0)&lt;&gt;"",Y$1,"")</f>
        <v/>
      </c>
      <c r="Z35" t="str">
        <f>IF(VLOOKUP($A35,Tabelle1!$A$4:$BU$73,27,0)&lt;&gt;"",Z$1,"")</f>
        <v/>
      </c>
      <c r="AA35" t="str">
        <f>IF(VLOOKUP($A35,Tabelle1!$A$4:$BU$73,28,0)&lt;&gt;"",AA$1,"")</f>
        <v/>
      </c>
      <c r="AB35" t="str">
        <f>IF(VLOOKUP($A35,Tabelle1!$A$4:$BU$73,29,0)&lt;&gt;"",AB$1,"")</f>
        <v/>
      </c>
      <c r="AC35" t="str">
        <f>IF(VLOOKUP($A35,Tabelle1!$A$4:$BU$73,30,0)&lt;&gt;"",AC$1,"")</f>
        <v/>
      </c>
      <c r="AD35" t="str">
        <f>IF(VLOOKUP($A35,Tabelle1!$A$4:$BU$73,31,0)&lt;&gt;"",AD$1,"")</f>
        <v/>
      </c>
      <c r="AE35" t="str">
        <f>IF(VLOOKUP($A35,Tabelle1!$A$4:$BU$73,32,0)&lt;&gt;"",AE$1,"")</f>
        <v/>
      </c>
      <c r="AF35" t="str">
        <f>IF(VLOOKUP($A35,Tabelle1!$A$4:$BU$73,33,0)&lt;&gt;"",AF$1,"")</f>
        <v/>
      </c>
      <c r="AG35" t="str">
        <f>IF(VLOOKUP($A35,Tabelle1!$A$4:$BU$73,34,0)&lt;&gt;"",AG$1,"")</f>
        <v>Persischer Klee</v>
      </c>
      <c r="AH35" t="str">
        <f>IF(VLOOKUP($A35,Tabelle1!$A$4:$BU$73,35,0)&lt;&gt;"",AH$1,"")</f>
        <v/>
      </c>
      <c r="AI35" t="str">
        <f>IF(VLOOKUP($A35,Tabelle1!$A$4:$BU$73,36,0)&lt;&gt;"",AI$1,"")</f>
        <v/>
      </c>
      <c r="AJ35" t="str">
        <f>IF(VLOOKUP($A35,Tabelle1!$A$4:$BU$73,37,0)&lt;&gt;"",AJ$1,"")</f>
        <v/>
      </c>
      <c r="AK35" t="str">
        <f>IF(VLOOKUP($A35,Tabelle1!$A$4:$BU$73,38,0)&lt;&gt;"",AK$1,"")</f>
        <v/>
      </c>
      <c r="AL35" t="str">
        <f>IF(VLOOKUP($A35,Tabelle1!$A$4:$BU$73,39,0)&lt;&gt;"",AL$1,"")</f>
        <v/>
      </c>
      <c r="AM35" t="str">
        <f>IF(VLOOKUP($A35,Tabelle1!$A$4:$BU$73,40,0)&lt;&gt;"",AM$1,"")</f>
        <v/>
      </c>
      <c r="AN35" t="str">
        <f>IF(VLOOKUP($A35,Tabelle1!$A$4:$BU$73,41,0)&lt;&gt;"",AN$1,"")</f>
        <v/>
      </c>
      <c r="AO35" t="str">
        <f>IF(VLOOKUP($A35,Tabelle1!$A$4:$BU$73,42,0)&lt;&gt;"",AO$1,"")</f>
        <v/>
      </c>
      <c r="AP35" t="str">
        <f>IF(VLOOKUP($A35,Tabelle1!$A$4:$BU$73,43,0)&lt;&gt;"",AP$1,"")</f>
        <v/>
      </c>
      <c r="AQ35" t="str">
        <f>IF(VLOOKUP($A35,Tabelle1!$A$4:$BU$73,44,0)&lt;&gt;"",AQ$1,"")</f>
        <v/>
      </c>
      <c r="AR35" t="str">
        <f>IF(VLOOKUP($A35,Tabelle1!$A$4:$BU$73,45,0)&lt;&gt;"",AR$1,"")</f>
        <v/>
      </c>
      <c r="AS35" t="str">
        <f>IF(VLOOKUP($A35,Tabelle1!$A$4:$BU$73,46,0)&lt;&gt;"",AS$1,"")</f>
        <v/>
      </c>
      <c r="AT35" t="str">
        <f>IF(VLOOKUP($A35,Tabelle1!$A$4:$BU$73,47,0)&lt;&gt;"",AT$1,"")</f>
        <v/>
      </c>
      <c r="AU35" t="str">
        <f>IF(VLOOKUP($A35,Tabelle1!$A$4:$BU$73,48,0)&lt;&gt;"",AU$1,"")</f>
        <v/>
      </c>
      <c r="AV35" t="str">
        <f>IF(VLOOKUP($A35,Tabelle1!$A$4:$BU$73,49,0)&lt;&gt;"",AV$1,"")</f>
        <v/>
      </c>
      <c r="AW35" t="str">
        <f>IF(VLOOKUP($A35,Tabelle1!$A$4:$BU$73,50,0)&lt;&gt;"",AW$1,"")</f>
        <v/>
      </c>
      <c r="AX35" t="str">
        <f>IF(VLOOKUP($A35,Tabelle1!$A$4:$BU$73,51,0)&lt;&gt;"",AX$1,"")</f>
        <v/>
      </c>
      <c r="AY35" t="str">
        <f>IF(VLOOKUP($A35,Tabelle1!$A$4:$BU$73,52,0)&lt;&gt;"",AY$1,"")</f>
        <v/>
      </c>
      <c r="AZ35" t="str">
        <f>IF(VLOOKUP($A35,Tabelle1!$A$4:$BU$73,53,0)&lt;&gt;"",AZ$1,"")</f>
        <v>Weißklee</v>
      </c>
      <c r="BA35" t="str">
        <f>IF(VLOOKUP($A35,Tabelle1!$A$4:$BU$73,54,0)&lt;&gt;"",BA$1,"")</f>
        <v/>
      </c>
      <c r="BB35" t="str">
        <f>IF(VLOOKUP($A35,Tabelle1!$A$4:$BU$73,55,0)&lt;&gt;"",BB$1,"")</f>
        <v/>
      </c>
      <c r="BC35" t="str">
        <f>IF(VLOOKUP($A35,Tabelle1!$A$4:$BU$73,56,0)&lt;&gt;"",BC$1,"")</f>
        <v/>
      </c>
      <c r="BD35" t="str">
        <f>IF(VLOOKUP($A35,Tabelle1!$A$4:$BU$73,57,0)&lt;&gt;"",BD$1,"")</f>
        <v/>
      </c>
      <c r="BE35" t="str">
        <f>IF(VLOOKUP($A35,Tabelle1!$A$4:$BU$73,58,0)&lt;&gt;"",BE$1,"")</f>
        <v/>
      </c>
      <c r="BF35" t="str">
        <f>IF(VLOOKUP($A35,Tabelle1!$A$4:$BU$73,59,0)&lt;&gt;"",BF$1,"")</f>
        <v/>
      </c>
      <c r="BG35" t="str">
        <f>IF(VLOOKUP($A35,Tabelle1!$A$4:$BU$73,60,0)&lt;&gt;"",BG$1,"")</f>
        <v/>
      </c>
      <c r="BH35" t="str">
        <f>IF(VLOOKUP($A35,Tabelle1!$A$4:$BU$73,61,0)&lt;&gt;"",BH$1,"")</f>
        <v/>
      </c>
      <c r="BI35" t="str">
        <f>IF(VLOOKUP($A35,Tabelle1!$A$4:$BU$73,62,0)&lt;&gt;"",BI$1,"")</f>
        <v/>
      </c>
      <c r="BJ35" t="str">
        <f>IF(VLOOKUP($A35,Tabelle1!$A$4:$BU$73,63,0)&lt;&gt;"",BJ$1,"")</f>
        <v/>
      </c>
      <c r="BK35" t="str">
        <f>IF(VLOOKUP($A35,Tabelle1!$A$4:$BU$73,64,0)&lt;&gt;"",BK$1,"")</f>
        <v/>
      </c>
      <c r="BL35" t="str">
        <f>IF(VLOOKUP($A35,Tabelle1!$A$4:$BU$73,65,0)&lt;&gt;"",BL$1,"")</f>
        <v/>
      </c>
      <c r="BM35" t="str">
        <f>IF(VLOOKUP($A35,Tabelle1!$A$4:$BU$73,66,0)&lt;&gt;"",BM$1,"")</f>
        <v/>
      </c>
      <c r="BN35" t="str">
        <f>IF(VLOOKUP($A35,Tabelle1!$A$4:$BU$73,67,0)&lt;&gt;"",BN$1,"")</f>
        <v/>
      </c>
      <c r="BO35" t="str">
        <f>IF(VLOOKUP($A35,Tabelle1!$A$4:$BU$73,68,0)&lt;&gt;"",BO$1,"")</f>
        <v/>
      </c>
      <c r="BP35" t="str">
        <f>IF(VLOOKUP($A35,Tabelle1!$A$4:$BU$73,69,0)&lt;&gt;"",BP$1,"")</f>
        <v/>
      </c>
      <c r="BQ35" t="str">
        <f>IF(VLOOKUP($A35,Tabelle1!$A$4:$BU$73,70,0)&lt;&gt;"",BQ$1,"")</f>
        <v/>
      </c>
      <c r="BR35" t="str">
        <f>IF(VLOOKUP($A35,Tabelle1!$A$4:$BU$73,71,0)&lt;&gt;"",BR$1,"")</f>
        <v/>
      </c>
      <c r="BS35" t="str">
        <f>IF(VLOOKUP($A35,Tabelle1!$A$4:$BU$73,72,0)&lt;&gt;"",BS$1,"")</f>
        <v/>
      </c>
      <c r="BT35" t="str">
        <f>IF(VLOOKUP($A35,Tabelle1!$A$4:$BU$73,73,0)&lt;&gt;"",BT$1,"")</f>
        <v/>
      </c>
    </row>
    <row r="36" spans="1:72" x14ac:dyDescent="0.2">
      <c r="A36" t="s">
        <v>86</v>
      </c>
      <c r="B36">
        <v>10</v>
      </c>
      <c r="C36">
        <v>4.0999999999999996</v>
      </c>
      <c r="D36" t="str">
        <f>IF(VLOOKUP($A36,Tabelle1!$A$4:$BU$73,5,0)&lt;&gt;"",D$1,"")</f>
        <v/>
      </c>
      <c r="E36" t="str">
        <f>IF(VLOOKUP($A36,Tabelle1!$A$4:$BU$73,6,0)&lt;&gt;"",E$1,"")</f>
        <v/>
      </c>
      <c r="F36" t="str">
        <f>IF(VLOOKUP($A36,Tabelle1!$A$4:$BU$73,7,0)&lt;&gt;"",F$1,"")</f>
        <v/>
      </c>
      <c r="G36" t="str">
        <f>IF(VLOOKUP($A36,Tabelle1!$A$4:$BU$73,8,0)&lt;&gt;"",G$1,"")</f>
        <v/>
      </c>
      <c r="H36" t="str">
        <f>IF(VLOOKUP($A36,Tabelle1!$A$4:$BU$73,9,0)&lt;&gt;"",H$1,"")</f>
        <v/>
      </c>
      <c r="I36" t="str">
        <f>IF(VLOOKUP($A36,Tabelle1!$A$4:$BU$73,10,0)&lt;&gt;"",I$1,"")</f>
        <v/>
      </c>
      <c r="J36" t="str">
        <f>IF(VLOOKUP($A36,Tabelle1!$A$4:$BU$73,11,0)&lt;&gt;"",J$1,"")</f>
        <v/>
      </c>
      <c r="K36" t="str">
        <f>IF(VLOOKUP($A36,Tabelle1!$A$4:$BU$73,12,0)&lt;&gt;"",K$1,"")</f>
        <v>Englisches Raygras (Deutsches Weidelgras)</v>
      </c>
      <c r="L36" t="str">
        <f>IF(VLOOKUP($A36,Tabelle1!$A$4:$BU$73,13,0)&lt;&gt;"",L$1,"")</f>
        <v/>
      </c>
      <c r="M36" t="str">
        <f>IF(VLOOKUP($A36,Tabelle1!$A$4:$BU$73,14,0)&lt;&gt;"",M$1,"")</f>
        <v/>
      </c>
      <c r="N36" t="str">
        <f>IF(VLOOKUP($A36,Tabelle1!$A$4:$BU$73,15,0)&lt;&gt;"",N$1,"")</f>
        <v/>
      </c>
      <c r="O36" t="str">
        <f>IF(VLOOKUP($A36,Tabelle1!$A$4:$BU$73,16,0)&lt;&gt;"",O$1,"")</f>
        <v/>
      </c>
      <c r="P36" t="str">
        <f>IF(VLOOKUP($A36,Tabelle1!$A$4:$BU$73,17,0)&lt;&gt;"",P$1,"")</f>
        <v/>
      </c>
      <c r="Q36" t="str">
        <f>IF(VLOOKUP($A36,Tabelle1!$A$4:$BU$73,18,0)&lt;&gt;"",Q$1,"")</f>
        <v/>
      </c>
      <c r="R36" t="str">
        <f>IF(VLOOKUP($A36,Tabelle1!$A$4:$BU$73,19,0)&lt;&gt;"",R$1,"")</f>
        <v/>
      </c>
      <c r="S36" t="str">
        <f>IF(VLOOKUP($A36,Tabelle1!$A$4:$BU$73,20,0)&lt;&gt;"",S$1,"")</f>
        <v/>
      </c>
      <c r="T36" t="str">
        <f>IF(VLOOKUP($A36,Tabelle1!$A$4:$BU$73,21,0)&lt;&gt;"",T$1,"")</f>
        <v/>
      </c>
      <c r="U36" t="str">
        <f>IF(VLOOKUP($A36,Tabelle1!$A$4:$BU$73,22,0)&lt;&gt;"",U$1,"")</f>
        <v>Italienisches Raygras (Welsches Weidelgras)</v>
      </c>
      <c r="V36" t="str">
        <f>IF(VLOOKUP($A36,Tabelle1!$A$4:$BU$73,23,0)&lt;&gt;"",V$1,"")</f>
        <v/>
      </c>
      <c r="W36" t="str">
        <f>IF(VLOOKUP($A36,Tabelle1!$A$4:$BU$73,24,0)&lt;&gt;"",W$1,"")</f>
        <v/>
      </c>
      <c r="X36" t="str">
        <f>IF(VLOOKUP($A36,Tabelle1!$A$4:$BU$73,25,0)&lt;&gt;"",X$1,"")</f>
        <v/>
      </c>
      <c r="Y36" t="str">
        <f>IF(VLOOKUP($A36,Tabelle1!$A$4:$BU$73,26,0)&lt;&gt;"",Y$1,"")</f>
        <v/>
      </c>
      <c r="Z36" t="str">
        <f>IF(VLOOKUP($A36,Tabelle1!$A$4:$BU$73,27,0)&lt;&gt;"",Z$1,"")</f>
        <v/>
      </c>
      <c r="AA36" t="str">
        <f>IF(VLOOKUP($A36,Tabelle1!$A$4:$BU$73,28,0)&lt;&gt;"",AA$1,"")</f>
        <v/>
      </c>
      <c r="AB36" t="str">
        <f>IF(VLOOKUP($A36,Tabelle1!$A$4:$BU$73,29,0)&lt;&gt;"",AB$1,"")</f>
        <v/>
      </c>
      <c r="AC36" t="str">
        <f>IF(VLOOKUP($A36,Tabelle1!$A$4:$BU$73,30,0)&lt;&gt;"",AC$1,"")</f>
        <v/>
      </c>
      <c r="AD36" t="str">
        <f>IF(VLOOKUP($A36,Tabelle1!$A$4:$BU$73,31,0)&lt;&gt;"",AD$1,"")</f>
        <v/>
      </c>
      <c r="AE36" t="str">
        <f>IF(VLOOKUP($A36,Tabelle1!$A$4:$BU$73,32,0)&lt;&gt;"",AE$1,"")</f>
        <v/>
      </c>
      <c r="AF36" t="str">
        <f>IF(VLOOKUP($A36,Tabelle1!$A$4:$BU$73,33,0)&lt;&gt;"",AF$1,"")</f>
        <v/>
      </c>
      <c r="AG36" t="str">
        <f>IF(VLOOKUP($A36,Tabelle1!$A$4:$BU$73,34,0)&lt;&gt;"",AG$1,"")</f>
        <v/>
      </c>
      <c r="AH36" t="str">
        <f>IF(VLOOKUP($A36,Tabelle1!$A$4:$BU$73,35,0)&lt;&gt;"",AH$1,"")</f>
        <v/>
      </c>
      <c r="AI36" t="str">
        <f>IF(VLOOKUP($A36,Tabelle1!$A$4:$BU$73,36,0)&lt;&gt;"",AI$1,"")</f>
        <v/>
      </c>
      <c r="AJ36" t="str">
        <f>IF(VLOOKUP($A36,Tabelle1!$A$4:$BU$73,37,0)&lt;&gt;"",AJ$1,"")</f>
        <v/>
      </c>
      <c r="AK36" t="str">
        <f>IF(VLOOKUP($A36,Tabelle1!$A$4:$BU$73,38,0)&lt;&gt;"",AK$1,"")</f>
        <v/>
      </c>
      <c r="AL36" t="str">
        <f>IF(VLOOKUP($A36,Tabelle1!$A$4:$BU$73,39,0)&lt;&gt;"",AL$1,"")</f>
        <v/>
      </c>
      <c r="AM36" t="str">
        <f>IF(VLOOKUP($A36,Tabelle1!$A$4:$BU$73,40,0)&lt;&gt;"",AM$1,"")</f>
        <v/>
      </c>
      <c r="AN36" t="str">
        <f>IF(VLOOKUP($A36,Tabelle1!$A$4:$BU$73,41,0)&lt;&gt;"",AN$1,"")</f>
        <v/>
      </c>
      <c r="AO36" t="str">
        <f>IF(VLOOKUP($A36,Tabelle1!$A$4:$BU$73,42,0)&lt;&gt;"",AO$1,"")</f>
        <v/>
      </c>
      <c r="AP36" t="str">
        <f>IF(VLOOKUP($A36,Tabelle1!$A$4:$BU$73,43,0)&lt;&gt;"",AP$1,"")</f>
        <v/>
      </c>
      <c r="AQ36" t="str">
        <f>IF(VLOOKUP($A36,Tabelle1!$A$4:$BU$73,44,0)&lt;&gt;"",AQ$1,"")</f>
        <v/>
      </c>
      <c r="AR36" t="str">
        <f>IF(VLOOKUP($A36,Tabelle1!$A$4:$BU$73,45,0)&lt;&gt;"",AR$1,"")</f>
        <v/>
      </c>
      <c r="AS36" t="str">
        <f>IF(VLOOKUP($A36,Tabelle1!$A$4:$BU$73,46,0)&lt;&gt;"",AS$1,"")</f>
        <v/>
      </c>
      <c r="AT36" t="str">
        <f>IF(VLOOKUP($A36,Tabelle1!$A$4:$BU$73,47,0)&lt;&gt;"",AT$1,"")</f>
        <v/>
      </c>
      <c r="AU36" t="str">
        <f>IF(VLOOKUP($A36,Tabelle1!$A$4:$BU$73,48,0)&lt;&gt;"",AU$1,"")</f>
        <v/>
      </c>
      <c r="AV36" t="str">
        <f>IF(VLOOKUP($A36,Tabelle1!$A$4:$BU$73,49,0)&lt;&gt;"",AV$1,"")</f>
        <v/>
      </c>
      <c r="AW36" t="str">
        <f>IF(VLOOKUP($A36,Tabelle1!$A$4:$BU$73,50,0)&lt;&gt;"",AW$1,"")</f>
        <v/>
      </c>
      <c r="AX36" t="str">
        <f>IF(VLOOKUP($A36,Tabelle1!$A$4:$BU$73,51,0)&lt;&gt;"",AX$1,"")</f>
        <v/>
      </c>
      <c r="AY36" t="str">
        <f>IF(VLOOKUP($A36,Tabelle1!$A$4:$BU$73,52,0)&lt;&gt;"",AY$1,"")</f>
        <v/>
      </c>
      <c r="AZ36" t="str">
        <f>IF(VLOOKUP($A36,Tabelle1!$A$4:$BU$73,53,0)&lt;&gt;"",AZ$1,"")</f>
        <v>Weißklee</v>
      </c>
      <c r="BA36" t="str">
        <f>IF(VLOOKUP($A36,Tabelle1!$A$4:$BU$73,54,0)&lt;&gt;"",BA$1,"")</f>
        <v/>
      </c>
      <c r="BB36" t="str">
        <f>IF(VLOOKUP($A36,Tabelle1!$A$4:$BU$73,55,0)&lt;&gt;"",BB$1,"")</f>
        <v/>
      </c>
      <c r="BC36" t="str">
        <f>IF(VLOOKUP($A36,Tabelle1!$A$4:$BU$73,56,0)&lt;&gt;"",BC$1,"")</f>
        <v/>
      </c>
      <c r="BD36" t="str">
        <f>IF(VLOOKUP($A36,Tabelle1!$A$4:$BU$73,57,0)&lt;&gt;"",BD$1,"")</f>
        <v/>
      </c>
      <c r="BE36" t="str">
        <f>IF(VLOOKUP($A36,Tabelle1!$A$4:$BU$73,58,0)&lt;&gt;"",BE$1,"")</f>
        <v/>
      </c>
      <c r="BF36" t="str">
        <f>IF(VLOOKUP($A36,Tabelle1!$A$4:$BU$73,59,0)&lt;&gt;"",BF$1,"")</f>
        <v/>
      </c>
      <c r="BG36" t="str">
        <f>IF(VLOOKUP($A36,Tabelle1!$A$4:$BU$73,60,0)&lt;&gt;"",BG$1,"")</f>
        <v/>
      </c>
      <c r="BH36" t="str">
        <f>IF(VLOOKUP($A36,Tabelle1!$A$4:$BU$73,61,0)&lt;&gt;"",BH$1,"")</f>
        <v/>
      </c>
      <c r="BI36" t="str">
        <f>IF(VLOOKUP($A36,Tabelle1!$A$4:$BU$73,62,0)&lt;&gt;"",BI$1,"")</f>
        <v/>
      </c>
      <c r="BJ36" t="str">
        <f>IF(VLOOKUP($A36,Tabelle1!$A$4:$BU$73,63,0)&lt;&gt;"",BJ$1,"")</f>
        <v/>
      </c>
      <c r="BK36" t="str">
        <f>IF(VLOOKUP($A36,Tabelle1!$A$4:$BU$73,64,0)&lt;&gt;"",BK$1,"")</f>
        <v/>
      </c>
      <c r="BL36" t="str">
        <f>IF(VLOOKUP($A36,Tabelle1!$A$4:$BU$73,65,0)&lt;&gt;"",BL$1,"")</f>
        <v/>
      </c>
      <c r="BM36" t="str">
        <f>IF(VLOOKUP($A36,Tabelle1!$A$4:$BU$73,66,0)&lt;&gt;"",BM$1,"")</f>
        <v/>
      </c>
      <c r="BN36" t="str">
        <f>IF(VLOOKUP($A36,Tabelle1!$A$4:$BU$73,67,0)&lt;&gt;"",BN$1,"")</f>
        <v/>
      </c>
      <c r="BO36" t="str">
        <f>IF(VLOOKUP($A36,Tabelle1!$A$4:$BU$73,68,0)&lt;&gt;"",BO$1,"")</f>
        <v/>
      </c>
      <c r="BP36" t="str">
        <f>IF(VLOOKUP($A36,Tabelle1!$A$4:$BU$73,69,0)&lt;&gt;"",BP$1,"")</f>
        <v/>
      </c>
      <c r="BQ36" t="str">
        <f>IF(VLOOKUP($A36,Tabelle1!$A$4:$BU$73,70,0)&lt;&gt;"",BQ$1,"")</f>
        <v/>
      </c>
      <c r="BR36" t="str">
        <f>IF(VLOOKUP($A36,Tabelle1!$A$4:$BU$73,71,0)&lt;&gt;"",BR$1,"")</f>
        <v/>
      </c>
      <c r="BS36" t="str">
        <f>IF(VLOOKUP($A36,Tabelle1!$A$4:$BU$73,72,0)&lt;&gt;"",BS$1,"")</f>
        <v/>
      </c>
      <c r="BT36" t="str">
        <f>IF(VLOOKUP($A36,Tabelle1!$A$4:$BU$73,73,0)&lt;&gt;"",BT$1,"")</f>
        <v/>
      </c>
    </row>
    <row r="37" spans="1:72" x14ac:dyDescent="0.2">
      <c r="A37" t="s">
        <v>435</v>
      </c>
      <c r="B37">
        <v>10</v>
      </c>
      <c r="C37">
        <v>3.63</v>
      </c>
      <c r="D37" t="str">
        <f>IF(VLOOKUP($A37,Tabelle1!$A$4:$BU$73,5,0)&lt;&gt;"",D$1,"")</f>
        <v/>
      </c>
      <c r="E37" t="str">
        <f>IF(VLOOKUP($A37,Tabelle1!$A$4:$BU$73,6,0)&lt;&gt;"",E$1,"")</f>
        <v/>
      </c>
      <c r="F37" t="str">
        <f>IF(VLOOKUP($A37,Tabelle1!$A$4:$BU$73,7,0)&lt;&gt;"",F$1,"")</f>
        <v>Alexandrinerklee</v>
      </c>
      <c r="G37" t="str">
        <f>IF(VLOOKUP($A37,Tabelle1!$A$4:$BU$73,8,0)&lt;&gt;"",G$1,"")</f>
        <v/>
      </c>
      <c r="H37" t="str">
        <f>IF(VLOOKUP($A37,Tabelle1!$A$4:$BU$73,9,0)&lt;&gt;"",H$1,"")</f>
        <v/>
      </c>
      <c r="I37" t="str">
        <f>IF(VLOOKUP($A37,Tabelle1!$A$4:$BU$73,10,0)&lt;&gt;"",I$1,"")</f>
        <v/>
      </c>
      <c r="J37" t="str">
        <f>IF(VLOOKUP($A37,Tabelle1!$A$4:$BU$73,11,0)&lt;&gt;"",J$1,"")</f>
        <v/>
      </c>
      <c r="K37" t="str">
        <f>IF(VLOOKUP($A37,Tabelle1!$A$4:$BU$73,12,0)&lt;&gt;"",K$1,"")</f>
        <v/>
      </c>
      <c r="L37" t="str">
        <f>IF(VLOOKUP($A37,Tabelle1!$A$4:$BU$73,13,0)&lt;&gt;"",L$1,"")</f>
        <v/>
      </c>
      <c r="M37" t="str">
        <f>IF(VLOOKUP($A37,Tabelle1!$A$4:$BU$73,14,0)&lt;&gt;"",M$1,"")</f>
        <v/>
      </c>
      <c r="N37" t="str">
        <f>IF(VLOOKUP($A37,Tabelle1!$A$4:$BU$73,15,0)&lt;&gt;"",N$1,"")</f>
        <v/>
      </c>
      <c r="O37" t="str">
        <f>IF(VLOOKUP($A37,Tabelle1!$A$4:$BU$73,16,0)&lt;&gt;"",O$1,"")</f>
        <v/>
      </c>
      <c r="P37" t="str">
        <f>IF(VLOOKUP($A37,Tabelle1!$A$4:$BU$73,17,0)&lt;&gt;"",P$1,"")</f>
        <v/>
      </c>
      <c r="Q37" t="str">
        <f>IF(VLOOKUP($A37,Tabelle1!$A$4:$BU$73,18,0)&lt;&gt;"",Q$1,"")</f>
        <v/>
      </c>
      <c r="R37" t="str">
        <f>IF(VLOOKUP($A37,Tabelle1!$A$4:$BU$73,19,0)&lt;&gt;"",R$1,"")</f>
        <v/>
      </c>
      <c r="S37" t="str">
        <f>IF(VLOOKUP($A37,Tabelle1!$A$4:$BU$73,20,0)&lt;&gt;"",S$1,"")</f>
        <v/>
      </c>
      <c r="T37" t="str">
        <f>IF(VLOOKUP($A37,Tabelle1!$A$4:$BU$73,21,0)&lt;&gt;"",T$1,"")</f>
        <v/>
      </c>
      <c r="U37" t="str">
        <f>IF(VLOOKUP($A37,Tabelle1!$A$4:$BU$73,22,0)&lt;&gt;"",U$1,"")</f>
        <v/>
      </c>
      <c r="V37" t="str">
        <f>IF(VLOOKUP($A37,Tabelle1!$A$4:$BU$73,23,0)&lt;&gt;"",V$1,"")</f>
        <v/>
      </c>
      <c r="W37" t="str">
        <f>IF(VLOOKUP($A37,Tabelle1!$A$4:$BU$73,24,0)&lt;&gt;"",W$1,"")</f>
        <v/>
      </c>
      <c r="X37" t="str">
        <f>IF(VLOOKUP($A37,Tabelle1!$A$4:$BU$73,25,0)&lt;&gt;"",X$1,"")</f>
        <v/>
      </c>
      <c r="Y37" t="str">
        <f>IF(VLOOKUP($A37,Tabelle1!$A$4:$BU$73,26,0)&lt;&gt;"",Y$1,"")</f>
        <v/>
      </c>
      <c r="Z37" t="str">
        <f>IF(VLOOKUP($A37,Tabelle1!$A$4:$BU$73,27,0)&lt;&gt;"",Z$1,"")</f>
        <v/>
      </c>
      <c r="AA37" t="str">
        <f>IF(VLOOKUP($A37,Tabelle1!$A$4:$BU$73,28,0)&lt;&gt;"",AA$1,"")</f>
        <v/>
      </c>
      <c r="AB37" t="str">
        <f>IF(VLOOKUP($A37,Tabelle1!$A$4:$BU$73,29,0)&lt;&gt;"",AB$1,"")</f>
        <v/>
      </c>
      <c r="AC37" t="str">
        <f>IF(VLOOKUP($A37,Tabelle1!$A$4:$BU$73,30,0)&lt;&gt;"",AC$1,"")</f>
        <v>Schwarzsamen/Ramtilkraut/Gingellikraut/Mungo</v>
      </c>
      <c r="AD37" t="str">
        <f>IF(VLOOKUP($A37,Tabelle1!$A$4:$BU$73,31,0)&lt;&gt;"",AD$1,"")</f>
        <v>Öllein</v>
      </c>
      <c r="AE37" t="str">
        <f>IF(VLOOKUP($A37,Tabelle1!$A$4:$BU$73,32,0)&lt;&gt;"",AE$1,"")</f>
        <v/>
      </c>
      <c r="AF37" t="str">
        <f>IF(VLOOKUP($A37,Tabelle1!$A$4:$BU$73,33,0)&lt;&gt;"",AF$1,"")</f>
        <v/>
      </c>
      <c r="AG37" t="str">
        <f>IF(VLOOKUP($A37,Tabelle1!$A$4:$BU$73,34,0)&lt;&gt;"",AG$1,"")</f>
        <v>Persischer Klee</v>
      </c>
      <c r="AH37" t="str">
        <f>IF(VLOOKUP($A37,Tabelle1!$A$4:$BU$73,35,0)&lt;&gt;"",AH$1,"")</f>
        <v/>
      </c>
      <c r="AI37" t="str">
        <f>IF(VLOOKUP($A37,Tabelle1!$A$4:$BU$73,36,0)&lt;&gt;"",AI$1,"")</f>
        <v/>
      </c>
      <c r="AJ37" t="str">
        <f>IF(VLOOKUP($A37,Tabelle1!$A$4:$BU$73,37,0)&lt;&gt;"",AJ$1,"")</f>
        <v/>
      </c>
      <c r="AK37" t="str">
        <f>IF(VLOOKUP($A37,Tabelle1!$A$4:$BU$73,38,0)&lt;&gt;"",AK$1,"")</f>
        <v/>
      </c>
      <c r="AL37" t="str">
        <f>IF(VLOOKUP($A37,Tabelle1!$A$4:$BU$73,39,0)&lt;&gt;"",AL$1,"")</f>
        <v/>
      </c>
      <c r="AM37" t="str">
        <f>IF(VLOOKUP($A37,Tabelle1!$A$4:$BU$73,40,0)&lt;&gt;"",AM$1,"")</f>
        <v>Saatwicke / Sommerwicke</v>
      </c>
      <c r="AN37" t="str">
        <f>IF(VLOOKUP($A37,Tabelle1!$A$4:$BU$73,41,0)&lt;&gt;"",AN$1,"")</f>
        <v/>
      </c>
      <c r="AO37" t="str">
        <f>IF(VLOOKUP($A37,Tabelle1!$A$4:$BU$73,42,0)&lt;&gt;"",AO$1,"")</f>
        <v/>
      </c>
      <c r="AP37" t="str">
        <f>IF(VLOOKUP($A37,Tabelle1!$A$4:$BU$73,43,0)&lt;&gt;"",AP$1,"")</f>
        <v/>
      </c>
      <c r="AQ37" t="str">
        <f>IF(VLOOKUP($A37,Tabelle1!$A$4:$BU$73,44,0)&lt;&gt;"",AQ$1,"")</f>
        <v/>
      </c>
      <c r="AR37" t="str">
        <f>IF(VLOOKUP($A37,Tabelle1!$A$4:$BU$73,45,0)&lt;&gt;"",AR$1,"")</f>
        <v/>
      </c>
      <c r="AS37" t="str">
        <f>IF(VLOOKUP($A37,Tabelle1!$A$4:$BU$73,46,0)&lt;&gt;"",AS$1,"")</f>
        <v/>
      </c>
      <c r="AT37" t="str">
        <f>IF(VLOOKUP($A37,Tabelle1!$A$4:$BU$73,47,0)&lt;&gt;"",AT$1,"")</f>
        <v/>
      </c>
      <c r="AU37" t="str">
        <f>IF(VLOOKUP($A37,Tabelle1!$A$4:$BU$73,48,0)&lt;&gt;"",AU$1,"")</f>
        <v/>
      </c>
      <c r="AV37" t="str">
        <f>IF(VLOOKUP($A37,Tabelle1!$A$4:$BU$73,49,0)&lt;&gt;"",AV$1,"")</f>
        <v/>
      </c>
      <c r="AW37" t="str">
        <f>IF(VLOOKUP($A37,Tabelle1!$A$4:$BU$73,50,0)&lt;&gt;"",AW$1,"")</f>
        <v/>
      </c>
      <c r="AX37" t="str">
        <f>IF(VLOOKUP($A37,Tabelle1!$A$4:$BU$73,51,0)&lt;&gt;"",AX$1,"")</f>
        <v/>
      </c>
      <c r="AY37" t="str">
        <f>IF(VLOOKUP($A37,Tabelle1!$A$4:$BU$73,52,0)&lt;&gt;"",AY$1,"")</f>
        <v/>
      </c>
      <c r="AZ37" t="str">
        <f>IF(VLOOKUP($A37,Tabelle1!$A$4:$BU$73,53,0)&lt;&gt;"",AZ$1,"")</f>
        <v/>
      </c>
      <c r="BA37" t="str">
        <f>IF(VLOOKUP($A37,Tabelle1!$A$4:$BU$73,54,0)&lt;&gt;"",BA$1,"")</f>
        <v/>
      </c>
      <c r="BB37" t="str">
        <f>IF(VLOOKUP($A37,Tabelle1!$A$4:$BU$73,55,0)&lt;&gt;"",BB$1,"")</f>
        <v/>
      </c>
      <c r="BC37" t="str">
        <f>IF(VLOOKUP($A37,Tabelle1!$A$4:$BU$73,56,0)&lt;&gt;"",BC$1,"")</f>
        <v/>
      </c>
      <c r="BD37" t="str">
        <f>IF(VLOOKUP($A37,Tabelle1!$A$4:$BU$73,57,0)&lt;&gt;"",BD$1,"")</f>
        <v/>
      </c>
      <c r="BE37" t="str">
        <f>IF(VLOOKUP($A37,Tabelle1!$A$4:$BU$73,58,0)&lt;&gt;"",BE$1,"")</f>
        <v/>
      </c>
      <c r="BF37" t="str">
        <f>IF(VLOOKUP($A37,Tabelle1!$A$4:$BU$73,59,0)&lt;&gt;"",BF$1,"")</f>
        <v/>
      </c>
      <c r="BG37" t="str">
        <f>IF(VLOOKUP($A37,Tabelle1!$A$4:$BU$73,60,0)&lt;&gt;"",BG$1,"")</f>
        <v/>
      </c>
      <c r="BH37" t="str">
        <f>IF(VLOOKUP($A37,Tabelle1!$A$4:$BU$73,61,0)&lt;&gt;"",BH$1,"")</f>
        <v/>
      </c>
      <c r="BI37" t="str">
        <f>IF(VLOOKUP($A37,Tabelle1!$A$4:$BU$73,62,0)&lt;&gt;"",BI$1,"")</f>
        <v/>
      </c>
      <c r="BJ37" t="str">
        <f>IF(VLOOKUP($A37,Tabelle1!$A$4:$BU$73,63,0)&lt;&gt;"",BJ$1,"")</f>
        <v/>
      </c>
      <c r="BK37" t="str">
        <f>IF(VLOOKUP($A37,Tabelle1!$A$4:$BU$73,64,0)&lt;&gt;"",BK$1,"")</f>
        <v/>
      </c>
      <c r="BL37" t="str">
        <f>IF(VLOOKUP($A37,Tabelle1!$A$4:$BU$73,65,0)&lt;&gt;"",BL$1,"")</f>
        <v/>
      </c>
      <c r="BM37" t="str">
        <f>IF(VLOOKUP($A37,Tabelle1!$A$4:$BU$73,66,0)&lt;&gt;"",BM$1,"")</f>
        <v/>
      </c>
      <c r="BN37" t="str">
        <f>IF(VLOOKUP($A37,Tabelle1!$A$4:$BU$73,67,0)&lt;&gt;"",BN$1,"")</f>
        <v/>
      </c>
      <c r="BO37" t="str">
        <f>IF(VLOOKUP($A37,Tabelle1!$A$4:$BU$73,68,0)&lt;&gt;"",BO$1,"")</f>
        <v/>
      </c>
      <c r="BP37" t="str">
        <f>IF(VLOOKUP($A37,Tabelle1!$A$4:$BU$73,69,0)&lt;&gt;"",BP$1,"")</f>
        <v/>
      </c>
      <c r="BQ37" t="str">
        <f>IF(VLOOKUP($A37,Tabelle1!$A$4:$BU$73,70,0)&lt;&gt;"",BQ$1,"")</f>
        <v/>
      </c>
      <c r="BR37" t="str">
        <f>IF(VLOOKUP($A37,Tabelle1!$A$4:$BU$73,71,0)&lt;&gt;"",BR$1,"")</f>
        <v/>
      </c>
      <c r="BS37" t="str">
        <f>IF(VLOOKUP($A37,Tabelle1!$A$4:$BU$73,72,0)&lt;&gt;"",BS$1,"")</f>
        <v/>
      </c>
      <c r="BT37" t="str">
        <f>IF(VLOOKUP($A37,Tabelle1!$A$4:$BU$73,73,0)&lt;&gt;"",BT$1,"")</f>
        <v/>
      </c>
    </row>
    <row r="38" spans="1:72" x14ac:dyDescent="0.2">
      <c r="A38" t="s">
        <v>51</v>
      </c>
      <c r="B38">
        <v>25</v>
      </c>
      <c r="C38">
        <v>5.49</v>
      </c>
      <c r="D38" t="str">
        <f>IF(VLOOKUP($A38,Tabelle1!$A$4:$BU$73,5,0)&lt;&gt;"",D$1,"")</f>
        <v/>
      </c>
      <c r="E38" t="str">
        <f>IF(VLOOKUP($A38,Tabelle1!$A$4:$BU$73,6,0)&lt;&gt;"",E$1,"")</f>
        <v/>
      </c>
      <c r="F38" t="str">
        <f>IF(VLOOKUP($A38,Tabelle1!$A$4:$BU$73,7,0)&lt;&gt;"",F$1,"")</f>
        <v>Alexandrinerklee</v>
      </c>
      <c r="G38" t="str">
        <f>IF(VLOOKUP($A38,Tabelle1!$A$4:$BU$73,8,0)&lt;&gt;"",G$1,"")</f>
        <v>Bastardraygras</v>
      </c>
      <c r="H38" t="str">
        <f>IF(VLOOKUP($A38,Tabelle1!$A$4:$BU$73,9,0)&lt;&gt;"",H$1,"")</f>
        <v/>
      </c>
      <c r="I38" t="str">
        <f>IF(VLOOKUP($A38,Tabelle1!$A$4:$BU$73,10,0)&lt;&gt;"",I$1,"")</f>
        <v/>
      </c>
      <c r="J38" t="str">
        <f>IF(VLOOKUP($A38,Tabelle1!$A$4:$BU$73,11,0)&lt;&gt;"",J$1,"")</f>
        <v>Einjähriges Raygras (Westerwoldisches Raygras)</v>
      </c>
      <c r="K38" t="str">
        <f>IF(VLOOKUP($A38,Tabelle1!$A$4:$BU$73,12,0)&lt;&gt;"",K$1,"")</f>
        <v/>
      </c>
      <c r="L38" t="str">
        <f>IF(VLOOKUP($A38,Tabelle1!$A$4:$BU$73,13,0)&lt;&gt;"",L$1,"")</f>
        <v/>
      </c>
      <c r="M38" t="str">
        <f>IF(VLOOKUP($A38,Tabelle1!$A$4:$BU$73,14,0)&lt;&gt;"",M$1,"")</f>
        <v/>
      </c>
      <c r="N38" t="str">
        <f>IF(VLOOKUP($A38,Tabelle1!$A$4:$BU$73,15,0)&lt;&gt;"",N$1,"")</f>
        <v/>
      </c>
      <c r="O38" t="str">
        <f>IF(VLOOKUP($A38,Tabelle1!$A$4:$BU$73,16,0)&lt;&gt;"",O$1,"")</f>
        <v/>
      </c>
      <c r="P38" t="str">
        <f>IF(VLOOKUP($A38,Tabelle1!$A$4:$BU$73,17,0)&lt;&gt;"",P$1,"")</f>
        <v/>
      </c>
      <c r="Q38" t="str">
        <f>IF(VLOOKUP($A38,Tabelle1!$A$4:$BU$73,18,0)&lt;&gt;"",Q$1,"")</f>
        <v/>
      </c>
      <c r="R38" t="str">
        <f>IF(VLOOKUP($A38,Tabelle1!$A$4:$BU$73,19,0)&lt;&gt;"",R$1,"")</f>
        <v/>
      </c>
      <c r="S38" t="str">
        <f>IF(VLOOKUP($A38,Tabelle1!$A$4:$BU$73,20,0)&lt;&gt;"",S$1,"")</f>
        <v/>
      </c>
      <c r="T38" t="str">
        <f>IF(VLOOKUP($A38,Tabelle1!$A$4:$BU$73,21,0)&lt;&gt;"",T$1,"")</f>
        <v/>
      </c>
      <c r="U38" t="str">
        <f>IF(VLOOKUP($A38,Tabelle1!$A$4:$BU$73,22,0)&lt;&gt;"",U$1,"")</f>
        <v/>
      </c>
      <c r="V38" t="str">
        <f>IF(VLOOKUP($A38,Tabelle1!$A$4:$BU$73,23,0)&lt;&gt;"",V$1,"")</f>
        <v/>
      </c>
      <c r="W38" t="str">
        <f>IF(VLOOKUP($A38,Tabelle1!$A$4:$BU$73,24,0)&lt;&gt;"",W$1,"")</f>
        <v/>
      </c>
      <c r="X38" t="str">
        <f>IF(VLOOKUP($A38,Tabelle1!$A$4:$BU$73,25,0)&lt;&gt;"",X$1,"")</f>
        <v/>
      </c>
      <c r="Y38" t="str">
        <f>IF(VLOOKUP($A38,Tabelle1!$A$4:$BU$73,26,0)&lt;&gt;"",Y$1,"")</f>
        <v/>
      </c>
      <c r="Z38" t="str">
        <f>IF(VLOOKUP($A38,Tabelle1!$A$4:$BU$73,27,0)&lt;&gt;"",Z$1,"")</f>
        <v/>
      </c>
      <c r="AA38" t="str">
        <f>IF(VLOOKUP($A38,Tabelle1!$A$4:$BU$73,28,0)&lt;&gt;"",AA$1,"")</f>
        <v/>
      </c>
      <c r="AB38" t="str">
        <f>IF(VLOOKUP($A38,Tabelle1!$A$4:$BU$73,29,0)&lt;&gt;"",AB$1,"")</f>
        <v/>
      </c>
      <c r="AC38" t="str">
        <f>IF(VLOOKUP($A38,Tabelle1!$A$4:$BU$73,30,0)&lt;&gt;"",AC$1,"")</f>
        <v/>
      </c>
      <c r="AD38" t="str">
        <f>IF(VLOOKUP($A38,Tabelle1!$A$4:$BU$73,31,0)&lt;&gt;"",AD$1,"")</f>
        <v/>
      </c>
      <c r="AE38" t="str">
        <f>IF(VLOOKUP($A38,Tabelle1!$A$4:$BU$73,32,0)&lt;&gt;"",AE$1,"")</f>
        <v/>
      </c>
      <c r="AF38" t="str">
        <f>IF(VLOOKUP($A38,Tabelle1!$A$4:$BU$73,33,0)&lt;&gt;"",AF$1,"")</f>
        <v/>
      </c>
      <c r="AG38" t="str">
        <f>IF(VLOOKUP($A38,Tabelle1!$A$4:$BU$73,34,0)&lt;&gt;"",AG$1,"")</f>
        <v>Persischer Klee</v>
      </c>
      <c r="AH38" t="str">
        <f>IF(VLOOKUP($A38,Tabelle1!$A$4:$BU$73,35,0)&lt;&gt;"",AH$1,"")</f>
        <v/>
      </c>
      <c r="AI38" t="str">
        <f>IF(VLOOKUP($A38,Tabelle1!$A$4:$BU$73,36,0)&lt;&gt;"",AI$1,"")</f>
        <v/>
      </c>
      <c r="AJ38" t="str">
        <f>IF(VLOOKUP($A38,Tabelle1!$A$4:$BU$73,37,0)&lt;&gt;"",AJ$1,"")</f>
        <v/>
      </c>
      <c r="AK38" t="str">
        <f>IF(VLOOKUP($A38,Tabelle1!$A$4:$BU$73,38,0)&lt;&gt;"",AK$1,"")</f>
        <v/>
      </c>
      <c r="AL38" t="str">
        <f>IF(VLOOKUP($A38,Tabelle1!$A$4:$BU$73,39,0)&lt;&gt;"",AL$1,"")</f>
        <v/>
      </c>
      <c r="AM38" t="str">
        <f>IF(VLOOKUP($A38,Tabelle1!$A$4:$BU$73,40,0)&lt;&gt;"",AM$1,"")</f>
        <v/>
      </c>
      <c r="AN38" t="str">
        <f>IF(VLOOKUP($A38,Tabelle1!$A$4:$BU$73,41,0)&lt;&gt;"",AN$1,"")</f>
        <v/>
      </c>
      <c r="AO38" t="str">
        <f>IF(VLOOKUP($A38,Tabelle1!$A$4:$BU$73,42,0)&lt;&gt;"",AO$1,"")</f>
        <v/>
      </c>
      <c r="AP38" t="str">
        <f>IF(VLOOKUP($A38,Tabelle1!$A$4:$BU$73,43,0)&lt;&gt;"",AP$1,"")</f>
        <v/>
      </c>
      <c r="AQ38" t="str">
        <f>IF(VLOOKUP($A38,Tabelle1!$A$4:$BU$73,44,0)&lt;&gt;"",AQ$1,"")</f>
        <v/>
      </c>
      <c r="AR38" t="str">
        <f>IF(VLOOKUP($A38,Tabelle1!$A$4:$BU$73,45,0)&lt;&gt;"",AR$1,"")</f>
        <v/>
      </c>
      <c r="AS38" t="str">
        <f>IF(VLOOKUP($A38,Tabelle1!$A$4:$BU$73,46,0)&lt;&gt;"",AS$1,"")</f>
        <v/>
      </c>
      <c r="AT38" t="str">
        <f>IF(VLOOKUP($A38,Tabelle1!$A$4:$BU$73,47,0)&lt;&gt;"",AT$1,"")</f>
        <v/>
      </c>
      <c r="AU38" t="str">
        <f>IF(VLOOKUP($A38,Tabelle1!$A$4:$BU$73,48,0)&lt;&gt;"",AU$1,"")</f>
        <v/>
      </c>
      <c r="AV38" t="str">
        <f>IF(VLOOKUP($A38,Tabelle1!$A$4:$BU$73,49,0)&lt;&gt;"",AV$1,"")</f>
        <v/>
      </c>
      <c r="AW38" t="str">
        <f>IF(VLOOKUP($A38,Tabelle1!$A$4:$BU$73,50,0)&lt;&gt;"",AW$1,"")</f>
        <v/>
      </c>
      <c r="AX38" t="str">
        <f>IF(VLOOKUP($A38,Tabelle1!$A$4:$BU$73,51,0)&lt;&gt;"",AX$1,"")</f>
        <v/>
      </c>
      <c r="AY38" t="str">
        <f>IF(VLOOKUP($A38,Tabelle1!$A$4:$BU$73,52,0)&lt;&gt;"",AY$1,"")</f>
        <v/>
      </c>
      <c r="AZ38" t="str">
        <f>IF(VLOOKUP($A38,Tabelle1!$A$4:$BU$73,53,0)&lt;&gt;"",AZ$1,"")</f>
        <v/>
      </c>
      <c r="BA38" t="str">
        <f>IF(VLOOKUP($A38,Tabelle1!$A$4:$BU$73,54,0)&lt;&gt;"",BA$1,"")</f>
        <v/>
      </c>
      <c r="BB38" t="str">
        <f>IF(VLOOKUP($A38,Tabelle1!$A$4:$BU$73,55,0)&lt;&gt;"",BB$1,"")</f>
        <v/>
      </c>
      <c r="BC38" t="str">
        <f>IF(VLOOKUP($A38,Tabelle1!$A$4:$BU$73,56,0)&lt;&gt;"",BC$1,"")</f>
        <v/>
      </c>
      <c r="BD38" t="str">
        <f>IF(VLOOKUP($A38,Tabelle1!$A$4:$BU$73,57,0)&lt;&gt;"",BD$1,"")</f>
        <v/>
      </c>
      <c r="BE38" t="str">
        <f>IF(VLOOKUP($A38,Tabelle1!$A$4:$BU$73,58,0)&lt;&gt;"",BE$1,"")</f>
        <v/>
      </c>
      <c r="BF38" t="str">
        <f>IF(VLOOKUP($A38,Tabelle1!$A$4:$BU$73,59,0)&lt;&gt;"",BF$1,"")</f>
        <v/>
      </c>
      <c r="BG38" t="str">
        <f>IF(VLOOKUP($A38,Tabelle1!$A$4:$BU$73,60,0)&lt;&gt;"",BG$1,"")</f>
        <v/>
      </c>
      <c r="BH38" t="str">
        <f>IF(VLOOKUP($A38,Tabelle1!$A$4:$BU$73,61,0)&lt;&gt;"",BH$1,"")</f>
        <v/>
      </c>
      <c r="BI38" t="str">
        <f>IF(VLOOKUP($A38,Tabelle1!$A$4:$BU$73,62,0)&lt;&gt;"",BI$1,"")</f>
        <v/>
      </c>
      <c r="BJ38" t="str">
        <f>IF(VLOOKUP($A38,Tabelle1!$A$4:$BU$73,63,0)&lt;&gt;"",BJ$1,"")</f>
        <v/>
      </c>
      <c r="BK38" t="str">
        <f>IF(VLOOKUP($A38,Tabelle1!$A$4:$BU$73,64,0)&lt;&gt;"",BK$1,"")</f>
        <v/>
      </c>
      <c r="BL38" t="str">
        <f>IF(VLOOKUP($A38,Tabelle1!$A$4:$BU$73,65,0)&lt;&gt;"",BL$1,"")</f>
        <v/>
      </c>
      <c r="BM38" t="str">
        <f>IF(VLOOKUP($A38,Tabelle1!$A$4:$BU$73,66,0)&lt;&gt;"",BM$1,"")</f>
        <v/>
      </c>
      <c r="BN38" t="str">
        <f>IF(VLOOKUP($A38,Tabelle1!$A$4:$BU$73,67,0)&lt;&gt;"",BN$1,"")</f>
        <v/>
      </c>
      <c r="BO38" t="str">
        <f>IF(VLOOKUP($A38,Tabelle1!$A$4:$BU$73,68,0)&lt;&gt;"",BO$1,"")</f>
        <v/>
      </c>
      <c r="BP38" t="str">
        <f>IF(VLOOKUP($A38,Tabelle1!$A$4:$BU$73,69,0)&lt;&gt;"",BP$1,"")</f>
        <v/>
      </c>
      <c r="BQ38" t="str">
        <f>IF(VLOOKUP($A38,Tabelle1!$A$4:$BU$73,70,0)&lt;&gt;"",BQ$1,"")</f>
        <v/>
      </c>
      <c r="BR38" t="str">
        <f>IF(VLOOKUP($A38,Tabelle1!$A$4:$BU$73,71,0)&lt;&gt;"",BR$1,"")</f>
        <v/>
      </c>
      <c r="BS38" t="str">
        <f>IF(VLOOKUP($A38,Tabelle1!$A$4:$BU$73,72,0)&lt;&gt;"",BS$1,"")</f>
        <v/>
      </c>
      <c r="BT38" t="str">
        <f>IF(VLOOKUP($A38,Tabelle1!$A$4:$BU$73,73,0)&lt;&gt;"",BT$1,"")</f>
        <v/>
      </c>
    </row>
    <row r="39" spans="1:72" x14ac:dyDescent="0.2">
      <c r="A39" t="s">
        <v>57</v>
      </c>
      <c r="B39">
        <v>60</v>
      </c>
      <c r="C39">
        <v>3.77</v>
      </c>
      <c r="D39" t="str">
        <f>IF(VLOOKUP($A39,Tabelle1!$A$4:$BU$73,5,0)&lt;&gt;"",D$1,"")</f>
        <v/>
      </c>
      <c r="E39" t="str">
        <f>IF(VLOOKUP($A39,Tabelle1!$A$4:$BU$73,6,0)&lt;&gt;"",E$1,"")</f>
        <v/>
      </c>
      <c r="F39" t="str">
        <f>IF(VLOOKUP($A39,Tabelle1!$A$4:$BU$73,7,0)&lt;&gt;"",F$1,"")</f>
        <v/>
      </c>
      <c r="G39" t="str">
        <f>IF(VLOOKUP($A39,Tabelle1!$A$4:$BU$73,8,0)&lt;&gt;"",G$1,"")</f>
        <v>Bastardraygras</v>
      </c>
      <c r="H39" t="str">
        <f>IF(VLOOKUP($A39,Tabelle1!$A$4:$BU$73,9,0)&lt;&gt;"",H$1,"")</f>
        <v/>
      </c>
      <c r="I39" t="str">
        <f>IF(VLOOKUP($A39,Tabelle1!$A$4:$BU$73,10,0)&lt;&gt;"",I$1,"")</f>
        <v/>
      </c>
      <c r="J39" t="str">
        <f>IF(VLOOKUP($A39,Tabelle1!$A$4:$BU$73,11,0)&lt;&gt;"",J$1,"")</f>
        <v/>
      </c>
      <c r="K39" t="str">
        <f>IF(VLOOKUP($A39,Tabelle1!$A$4:$BU$73,12,0)&lt;&gt;"",K$1,"")</f>
        <v/>
      </c>
      <c r="L39" t="str">
        <f>IF(VLOOKUP($A39,Tabelle1!$A$4:$BU$73,13,0)&lt;&gt;"",L$1,"")</f>
        <v/>
      </c>
      <c r="M39" t="str">
        <f>IF(VLOOKUP($A39,Tabelle1!$A$4:$BU$73,14,0)&lt;&gt;"",M$1,"")</f>
        <v/>
      </c>
      <c r="N39" t="str">
        <f>IF(VLOOKUP($A39,Tabelle1!$A$4:$BU$73,15,0)&lt;&gt;"",N$1,"")</f>
        <v/>
      </c>
      <c r="O39" t="str">
        <f>IF(VLOOKUP($A39,Tabelle1!$A$4:$BU$73,16,0)&lt;&gt;"",O$1,"")</f>
        <v/>
      </c>
      <c r="P39" t="str">
        <f>IF(VLOOKUP($A39,Tabelle1!$A$4:$BU$73,17,0)&lt;&gt;"",P$1,"")</f>
        <v/>
      </c>
      <c r="Q39" t="str">
        <f>IF(VLOOKUP($A39,Tabelle1!$A$4:$BU$73,18,0)&lt;&gt;"",Q$1,"")</f>
        <v/>
      </c>
      <c r="R39" t="str">
        <f>IF(VLOOKUP($A39,Tabelle1!$A$4:$BU$73,19,0)&lt;&gt;"",R$1,"")</f>
        <v/>
      </c>
      <c r="S39" t="str">
        <f>IF(VLOOKUP($A39,Tabelle1!$A$4:$BU$73,20,0)&lt;&gt;"",S$1,"")</f>
        <v/>
      </c>
      <c r="T39" t="str">
        <f>IF(VLOOKUP($A39,Tabelle1!$A$4:$BU$73,21,0)&lt;&gt;"",T$1,"")</f>
        <v>Inkarnatklee</v>
      </c>
      <c r="U39" t="str">
        <f>IF(VLOOKUP($A39,Tabelle1!$A$4:$BU$73,22,0)&lt;&gt;"",U$1,"")</f>
        <v>Italienisches Raygras (Welsches Weidelgras)</v>
      </c>
      <c r="V39" t="str">
        <f>IF(VLOOKUP($A39,Tabelle1!$A$4:$BU$73,23,0)&lt;&gt;"",V$1,"")</f>
        <v/>
      </c>
      <c r="W39" t="str">
        <f>IF(VLOOKUP($A39,Tabelle1!$A$4:$BU$73,24,0)&lt;&gt;"",W$1,"")</f>
        <v/>
      </c>
      <c r="X39" t="str">
        <f>IF(VLOOKUP($A39,Tabelle1!$A$4:$BU$73,25,0)&lt;&gt;"",X$1,"")</f>
        <v/>
      </c>
      <c r="Y39" t="str">
        <f>IF(VLOOKUP($A39,Tabelle1!$A$4:$BU$73,26,0)&lt;&gt;"",Y$1,"")</f>
        <v/>
      </c>
      <c r="Z39" t="str">
        <f>IF(VLOOKUP($A39,Tabelle1!$A$4:$BU$73,27,0)&lt;&gt;"",Z$1,"")</f>
        <v/>
      </c>
      <c r="AA39" t="str">
        <f>IF(VLOOKUP($A39,Tabelle1!$A$4:$BU$73,28,0)&lt;&gt;"",AA$1,"")</f>
        <v/>
      </c>
      <c r="AB39" t="str">
        <f>IF(VLOOKUP($A39,Tabelle1!$A$4:$BU$73,29,0)&lt;&gt;"",AB$1,"")</f>
        <v/>
      </c>
      <c r="AC39" t="str">
        <f>IF(VLOOKUP($A39,Tabelle1!$A$4:$BU$73,30,0)&lt;&gt;"",AC$1,"")</f>
        <v/>
      </c>
      <c r="AD39" t="str">
        <f>IF(VLOOKUP($A39,Tabelle1!$A$4:$BU$73,31,0)&lt;&gt;"",AD$1,"")</f>
        <v/>
      </c>
      <c r="AE39" t="str">
        <f>IF(VLOOKUP($A39,Tabelle1!$A$4:$BU$73,32,0)&lt;&gt;"",AE$1,"")</f>
        <v/>
      </c>
      <c r="AF39" t="str">
        <f>IF(VLOOKUP($A39,Tabelle1!$A$4:$BU$73,33,0)&lt;&gt;"",AF$1,"")</f>
        <v/>
      </c>
      <c r="AG39" t="str">
        <f>IF(VLOOKUP($A39,Tabelle1!$A$4:$BU$73,34,0)&lt;&gt;"",AG$1,"")</f>
        <v/>
      </c>
      <c r="AH39" t="str">
        <f>IF(VLOOKUP($A39,Tabelle1!$A$4:$BU$73,35,0)&lt;&gt;"",AH$1,"")</f>
        <v/>
      </c>
      <c r="AI39" t="str">
        <f>IF(VLOOKUP($A39,Tabelle1!$A$4:$BU$73,36,0)&lt;&gt;"",AI$1,"")</f>
        <v/>
      </c>
      <c r="AJ39" t="str">
        <f>IF(VLOOKUP($A39,Tabelle1!$A$4:$BU$73,37,0)&lt;&gt;"",AJ$1,"")</f>
        <v/>
      </c>
      <c r="AK39" t="str">
        <f>IF(VLOOKUP($A39,Tabelle1!$A$4:$BU$73,38,0)&lt;&gt;"",AK$1,"")</f>
        <v/>
      </c>
      <c r="AL39" t="str">
        <f>IF(VLOOKUP($A39,Tabelle1!$A$4:$BU$73,39,0)&lt;&gt;"",AL$1,"")</f>
        <v/>
      </c>
      <c r="AM39" t="str">
        <f>IF(VLOOKUP($A39,Tabelle1!$A$4:$BU$73,40,0)&lt;&gt;"",AM$1,"")</f>
        <v/>
      </c>
      <c r="AN39" t="str">
        <f>IF(VLOOKUP($A39,Tabelle1!$A$4:$BU$73,41,0)&lt;&gt;"",AN$1,"")</f>
        <v/>
      </c>
      <c r="AO39" t="str">
        <f>IF(VLOOKUP($A39,Tabelle1!$A$4:$BU$73,42,0)&lt;&gt;"",AO$1,"")</f>
        <v/>
      </c>
      <c r="AP39" t="str">
        <f>IF(VLOOKUP($A39,Tabelle1!$A$4:$BU$73,43,0)&lt;&gt;"",AP$1,"")</f>
        <v/>
      </c>
      <c r="AQ39" t="str">
        <f>IF(VLOOKUP($A39,Tabelle1!$A$4:$BU$73,44,0)&lt;&gt;"",AQ$1,"")</f>
        <v/>
      </c>
      <c r="AR39" t="str">
        <f>IF(VLOOKUP($A39,Tabelle1!$A$4:$BU$73,45,0)&lt;&gt;"",AR$1,"")</f>
        <v/>
      </c>
      <c r="AS39" t="str">
        <f>IF(VLOOKUP($A39,Tabelle1!$A$4:$BU$73,46,0)&lt;&gt;"",AS$1,"")</f>
        <v/>
      </c>
      <c r="AT39" t="str">
        <f>IF(VLOOKUP($A39,Tabelle1!$A$4:$BU$73,47,0)&lt;&gt;"",AT$1,"")</f>
        <v/>
      </c>
      <c r="AU39" t="str">
        <f>IF(VLOOKUP($A39,Tabelle1!$A$4:$BU$73,48,0)&lt;&gt;"",AU$1,"")</f>
        <v/>
      </c>
      <c r="AV39" t="str">
        <f>IF(VLOOKUP($A39,Tabelle1!$A$4:$BU$73,49,0)&lt;&gt;"",AV$1,"")</f>
        <v/>
      </c>
      <c r="AW39" t="str">
        <f>IF(VLOOKUP($A39,Tabelle1!$A$4:$BU$73,50,0)&lt;&gt;"",AW$1,"")</f>
        <v/>
      </c>
      <c r="AX39" t="str">
        <f>IF(VLOOKUP($A39,Tabelle1!$A$4:$BU$73,51,0)&lt;&gt;"",AX$1,"")</f>
        <v/>
      </c>
      <c r="AY39" t="str">
        <f>IF(VLOOKUP($A39,Tabelle1!$A$4:$BU$73,52,0)&lt;&gt;"",AY$1,"")</f>
        <v/>
      </c>
      <c r="AZ39" t="str">
        <f>IF(VLOOKUP($A39,Tabelle1!$A$4:$BU$73,53,0)&lt;&gt;"",AZ$1,"")</f>
        <v/>
      </c>
      <c r="BA39" t="str">
        <f>IF(VLOOKUP($A39,Tabelle1!$A$4:$BU$73,54,0)&lt;&gt;"",BA$1,"")</f>
        <v/>
      </c>
      <c r="BB39" t="str">
        <f>IF(VLOOKUP($A39,Tabelle1!$A$4:$BU$73,55,0)&lt;&gt;"",BB$1,"")</f>
        <v/>
      </c>
      <c r="BC39" t="str">
        <f>IF(VLOOKUP($A39,Tabelle1!$A$4:$BU$73,56,0)&lt;&gt;"",BC$1,"")</f>
        <v/>
      </c>
      <c r="BD39" t="str">
        <f>IF(VLOOKUP($A39,Tabelle1!$A$4:$BU$73,57,0)&lt;&gt;"",BD$1,"")</f>
        <v>Winterwicke Pannonisch</v>
      </c>
      <c r="BE39" t="str">
        <f>IF(VLOOKUP($A39,Tabelle1!$A$4:$BU$73,58,0)&lt;&gt;"",BE$1,"")</f>
        <v/>
      </c>
      <c r="BF39" t="str">
        <f>IF(VLOOKUP($A39,Tabelle1!$A$4:$BU$73,59,0)&lt;&gt;"",BF$1,"")</f>
        <v/>
      </c>
      <c r="BG39" t="str">
        <f>IF(VLOOKUP($A39,Tabelle1!$A$4:$BU$73,60,0)&lt;&gt;"",BG$1,"")</f>
        <v/>
      </c>
      <c r="BH39" t="str">
        <f>IF(VLOOKUP($A39,Tabelle1!$A$4:$BU$73,61,0)&lt;&gt;"",BH$1,"")</f>
        <v/>
      </c>
      <c r="BI39" t="str">
        <f>IF(VLOOKUP($A39,Tabelle1!$A$4:$BU$73,62,0)&lt;&gt;"",BI$1,"")</f>
        <v/>
      </c>
      <c r="BJ39" t="str">
        <f>IF(VLOOKUP($A39,Tabelle1!$A$4:$BU$73,63,0)&lt;&gt;"",BJ$1,"")</f>
        <v/>
      </c>
      <c r="BK39" t="str">
        <f>IF(VLOOKUP($A39,Tabelle1!$A$4:$BU$73,64,0)&lt;&gt;"",BK$1,"")</f>
        <v/>
      </c>
      <c r="BL39" t="str">
        <f>IF(VLOOKUP($A39,Tabelle1!$A$4:$BU$73,65,0)&lt;&gt;"",BL$1,"")</f>
        <v/>
      </c>
      <c r="BM39" t="str">
        <f>IF(VLOOKUP($A39,Tabelle1!$A$4:$BU$73,66,0)&lt;&gt;"",BM$1,"")</f>
        <v/>
      </c>
      <c r="BN39" t="str">
        <f>IF(VLOOKUP($A39,Tabelle1!$A$4:$BU$73,67,0)&lt;&gt;"",BN$1,"")</f>
        <v/>
      </c>
      <c r="BO39" t="str">
        <f>IF(VLOOKUP($A39,Tabelle1!$A$4:$BU$73,68,0)&lt;&gt;"",BO$1,"")</f>
        <v/>
      </c>
      <c r="BP39" t="str">
        <f>IF(VLOOKUP($A39,Tabelle1!$A$4:$BU$73,69,0)&lt;&gt;"",BP$1,"")</f>
        <v/>
      </c>
      <c r="BQ39" t="str">
        <f>IF(VLOOKUP($A39,Tabelle1!$A$4:$BU$73,70,0)&lt;&gt;"",BQ$1,"")</f>
        <v/>
      </c>
      <c r="BR39" t="str">
        <f>IF(VLOOKUP($A39,Tabelle1!$A$4:$BU$73,71,0)&lt;&gt;"",BR$1,"")</f>
        <v/>
      </c>
      <c r="BS39" t="str">
        <f>IF(VLOOKUP($A39,Tabelle1!$A$4:$BU$73,72,0)&lt;&gt;"",BS$1,"")</f>
        <v/>
      </c>
      <c r="BT39" t="str">
        <f>IF(VLOOKUP($A39,Tabelle1!$A$4:$BU$73,73,0)&lt;&gt;"",BT$1,"")</f>
        <v/>
      </c>
    </row>
    <row r="40" spans="1:72" x14ac:dyDescent="0.2">
      <c r="A40" t="s">
        <v>937</v>
      </c>
      <c r="B40">
        <v>60</v>
      </c>
      <c r="C40">
        <v>4.2</v>
      </c>
      <c r="D40" t="str">
        <f>IF(VLOOKUP($A40,Tabelle1!$A$4:$BU$73,5,0)&lt;&gt;"",D$1,"")</f>
        <v/>
      </c>
      <c r="E40" t="str">
        <f>IF(VLOOKUP($A40,Tabelle1!$A$4:$BU$73,6,0)&lt;&gt;"",E$1,"")</f>
        <v/>
      </c>
      <c r="F40" t="str">
        <f>IF(VLOOKUP($A40,Tabelle1!$A$4:$BU$73,7,0)&lt;&gt;"",F$1,"")</f>
        <v/>
      </c>
      <c r="G40" t="str">
        <f>IF(VLOOKUP($A40,Tabelle1!$A$4:$BU$73,8,0)&lt;&gt;"",G$1,"")</f>
        <v>Bastardraygras</v>
      </c>
      <c r="H40" t="str">
        <f>IF(VLOOKUP($A40,Tabelle1!$A$4:$BU$73,9,0)&lt;&gt;"",H$1,"")</f>
        <v/>
      </c>
      <c r="I40" t="str">
        <f>IF(VLOOKUP($A40,Tabelle1!$A$4:$BU$73,10,0)&lt;&gt;"",I$1,"")</f>
        <v/>
      </c>
      <c r="J40" t="str">
        <f>IF(VLOOKUP($A40,Tabelle1!$A$4:$BU$73,11,0)&lt;&gt;"",J$1,"")</f>
        <v/>
      </c>
      <c r="K40" t="str">
        <f>IF(VLOOKUP($A40,Tabelle1!$A$4:$BU$73,12,0)&lt;&gt;"",K$1,"")</f>
        <v/>
      </c>
      <c r="L40" t="str">
        <f>IF(VLOOKUP($A40,Tabelle1!$A$4:$BU$73,13,0)&lt;&gt;"",L$1,"")</f>
        <v/>
      </c>
      <c r="M40" t="str">
        <f>IF(VLOOKUP($A40,Tabelle1!$A$4:$BU$73,14,0)&lt;&gt;"",M$1,"")</f>
        <v/>
      </c>
      <c r="N40" t="str">
        <f>IF(VLOOKUP($A40,Tabelle1!$A$4:$BU$73,15,0)&lt;&gt;"",N$1,"")</f>
        <v/>
      </c>
      <c r="O40" t="str">
        <f>IF(VLOOKUP($A40,Tabelle1!$A$4:$BU$73,16,0)&lt;&gt;"",O$1,"")</f>
        <v/>
      </c>
      <c r="P40" t="str">
        <f>IF(VLOOKUP($A40,Tabelle1!$A$4:$BU$73,17,0)&lt;&gt;"",P$1,"")</f>
        <v/>
      </c>
      <c r="Q40" t="str">
        <f>IF(VLOOKUP($A40,Tabelle1!$A$4:$BU$73,18,0)&lt;&gt;"",Q$1,"")</f>
        <v/>
      </c>
      <c r="R40" t="str">
        <f>IF(VLOOKUP($A40,Tabelle1!$A$4:$BU$73,19,0)&lt;&gt;"",R$1,"")</f>
        <v/>
      </c>
      <c r="S40" t="str">
        <f>IF(VLOOKUP($A40,Tabelle1!$A$4:$BU$73,20,0)&lt;&gt;"",S$1,"")</f>
        <v/>
      </c>
      <c r="T40" t="str">
        <f>IF(VLOOKUP($A40,Tabelle1!$A$4:$BU$73,21,0)&lt;&gt;"",T$1,"")</f>
        <v>Inkarnatklee</v>
      </c>
      <c r="U40" t="str">
        <f>IF(VLOOKUP($A40,Tabelle1!$A$4:$BU$73,22,0)&lt;&gt;"",U$1,"")</f>
        <v>Italienisches Raygras (Welsches Weidelgras)</v>
      </c>
      <c r="V40" t="str">
        <f>IF(VLOOKUP($A40,Tabelle1!$A$4:$BU$73,23,0)&lt;&gt;"",V$1,"")</f>
        <v/>
      </c>
      <c r="W40" t="str">
        <f>IF(VLOOKUP($A40,Tabelle1!$A$4:$BU$73,24,0)&lt;&gt;"",W$1,"")</f>
        <v/>
      </c>
      <c r="X40" t="str">
        <f>IF(VLOOKUP($A40,Tabelle1!$A$4:$BU$73,25,0)&lt;&gt;"",X$1,"")</f>
        <v/>
      </c>
      <c r="Y40" t="str">
        <f>IF(VLOOKUP($A40,Tabelle1!$A$4:$BU$73,26,0)&lt;&gt;"",Y$1,"")</f>
        <v/>
      </c>
      <c r="Z40" t="str">
        <f>IF(VLOOKUP($A40,Tabelle1!$A$4:$BU$73,27,0)&lt;&gt;"",Z$1,"")</f>
        <v/>
      </c>
      <c r="AA40" t="str">
        <f>IF(VLOOKUP($A40,Tabelle1!$A$4:$BU$73,28,0)&lt;&gt;"",AA$1,"")</f>
        <v/>
      </c>
      <c r="AB40" t="str">
        <f>IF(VLOOKUP($A40,Tabelle1!$A$4:$BU$73,29,0)&lt;&gt;"",AB$1,"")</f>
        <v/>
      </c>
      <c r="AC40" t="str">
        <f>IF(VLOOKUP($A40,Tabelle1!$A$4:$BU$73,30,0)&lt;&gt;"",AC$1,"")</f>
        <v/>
      </c>
      <c r="AD40" t="str">
        <f>IF(VLOOKUP($A40,Tabelle1!$A$4:$BU$73,31,0)&lt;&gt;"",AD$1,"")</f>
        <v/>
      </c>
      <c r="AE40" t="str">
        <f>IF(VLOOKUP($A40,Tabelle1!$A$4:$BU$73,32,0)&lt;&gt;"",AE$1,"")</f>
        <v/>
      </c>
      <c r="AF40" t="str">
        <f>IF(VLOOKUP($A40,Tabelle1!$A$4:$BU$73,33,0)&lt;&gt;"",AF$1,"")</f>
        <v/>
      </c>
      <c r="AG40" t="str">
        <f>IF(VLOOKUP($A40,Tabelle1!$A$4:$BU$73,34,0)&lt;&gt;"",AG$1,"")</f>
        <v/>
      </c>
      <c r="AH40" t="str">
        <f>IF(VLOOKUP($A40,Tabelle1!$A$4:$BU$73,35,0)&lt;&gt;"",AH$1,"")</f>
        <v/>
      </c>
      <c r="AI40" t="str">
        <f>IF(VLOOKUP($A40,Tabelle1!$A$4:$BU$73,36,0)&lt;&gt;"",AI$1,"")</f>
        <v/>
      </c>
      <c r="AJ40" t="str">
        <f>IF(VLOOKUP($A40,Tabelle1!$A$4:$BU$73,37,0)&lt;&gt;"",AJ$1,"")</f>
        <v/>
      </c>
      <c r="AK40" t="str">
        <f>IF(VLOOKUP($A40,Tabelle1!$A$4:$BU$73,38,0)&lt;&gt;"",AK$1,"")</f>
        <v/>
      </c>
      <c r="AL40" t="str">
        <f>IF(VLOOKUP($A40,Tabelle1!$A$4:$BU$73,39,0)&lt;&gt;"",AL$1,"")</f>
        <v/>
      </c>
      <c r="AM40" t="str">
        <f>IF(VLOOKUP($A40,Tabelle1!$A$4:$BU$73,40,0)&lt;&gt;"",AM$1,"")</f>
        <v/>
      </c>
      <c r="AN40" t="str">
        <f>IF(VLOOKUP($A40,Tabelle1!$A$4:$BU$73,41,0)&lt;&gt;"",AN$1,"")</f>
        <v/>
      </c>
      <c r="AO40" t="str">
        <f>IF(VLOOKUP($A40,Tabelle1!$A$4:$BU$73,42,0)&lt;&gt;"",AO$1,"")</f>
        <v/>
      </c>
      <c r="AP40" t="str">
        <f>IF(VLOOKUP($A40,Tabelle1!$A$4:$BU$73,43,0)&lt;&gt;"",AP$1,"")</f>
        <v/>
      </c>
      <c r="AQ40" t="str">
        <f>IF(VLOOKUP($A40,Tabelle1!$A$4:$BU$73,44,0)&lt;&gt;"",AQ$1,"")</f>
        <v/>
      </c>
      <c r="AR40" t="str">
        <f>IF(VLOOKUP($A40,Tabelle1!$A$4:$BU$73,45,0)&lt;&gt;"",AR$1,"")</f>
        <v/>
      </c>
      <c r="AS40" t="str">
        <f>IF(VLOOKUP($A40,Tabelle1!$A$4:$BU$73,46,0)&lt;&gt;"",AS$1,"")</f>
        <v/>
      </c>
      <c r="AT40" t="str">
        <f>IF(VLOOKUP($A40,Tabelle1!$A$4:$BU$73,47,0)&lt;&gt;"",AT$1,"")</f>
        <v/>
      </c>
      <c r="AU40" t="str">
        <f>IF(VLOOKUP($A40,Tabelle1!$A$4:$BU$73,48,0)&lt;&gt;"",AU$1,"")</f>
        <v/>
      </c>
      <c r="AV40" t="str">
        <f>IF(VLOOKUP($A40,Tabelle1!$A$4:$BU$73,49,0)&lt;&gt;"",AV$1,"")</f>
        <v/>
      </c>
      <c r="AW40" t="str">
        <f>IF(VLOOKUP($A40,Tabelle1!$A$4:$BU$73,50,0)&lt;&gt;"",AW$1,"")</f>
        <v/>
      </c>
      <c r="AX40" t="str">
        <f>IF(VLOOKUP($A40,Tabelle1!$A$4:$BU$73,51,0)&lt;&gt;"",AX$1,"")</f>
        <v/>
      </c>
      <c r="AY40" t="str">
        <f>IF(VLOOKUP($A40,Tabelle1!$A$4:$BU$73,52,0)&lt;&gt;"",AY$1,"")</f>
        <v/>
      </c>
      <c r="AZ40" t="str">
        <f>IF(VLOOKUP($A40,Tabelle1!$A$4:$BU$73,53,0)&lt;&gt;"",AZ$1,"")</f>
        <v/>
      </c>
      <c r="BA40" t="str">
        <f>IF(VLOOKUP($A40,Tabelle1!$A$4:$BU$73,54,0)&lt;&gt;"",BA$1,"")</f>
        <v/>
      </c>
      <c r="BB40" t="str">
        <f>IF(VLOOKUP($A40,Tabelle1!$A$4:$BU$73,55,0)&lt;&gt;"",BB$1,"")</f>
        <v/>
      </c>
      <c r="BC40" t="str">
        <f>IF(VLOOKUP($A40,Tabelle1!$A$4:$BU$73,56,0)&lt;&gt;"",BC$1,"")</f>
        <v/>
      </c>
      <c r="BD40" t="str">
        <f>IF(VLOOKUP($A40,Tabelle1!$A$4:$BU$73,57,0)&lt;&gt;"",BD$1,"")</f>
        <v>Winterwicke Pannonisch</v>
      </c>
      <c r="BE40" t="str">
        <f>IF(VLOOKUP($A40,Tabelle1!$A$4:$BU$73,58,0)&lt;&gt;"",BE$1,"")</f>
        <v/>
      </c>
      <c r="BF40" t="str">
        <f>IF(VLOOKUP($A40,Tabelle1!$A$4:$BU$73,59,0)&lt;&gt;"",BF$1,"")</f>
        <v/>
      </c>
      <c r="BG40" t="str">
        <f>IF(VLOOKUP($A40,Tabelle1!$A$4:$BU$73,60,0)&lt;&gt;"",BG$1,"")</f>
        <v/>
      </c>
      <c r="BH40" t="str">
        <f>IF(VLOOKUP($A40,Tabelle1!$A$4:$BU$73,61,0)&lt;&gt;"",BH$1,"")</f>
        <v/>
      </c>
      <c r="BI40" t="str">
        <f>IF(VLOOKUP($A40,Tabelle1!$A$4:$BU$73,62,0)&lt;&gt;"",BI$1,"")</f>
        <v/>
      </c>
      <c r="BJ40" t="str">
        <f>IF(VLOOKUP($A40,Tabelle1!$A$4:$BU$73,63,0)&lt;&gt;"",BJ$1,"")</f>
        <v/>
      </c>
      <c r="BK40" t="str">
        <f>IF(VLOOKUP($A40,Tabelle1!$A$4:$BU$73,64,0)&lt;&gt;"",BK$1,"")</f>
        <v/>
      </c>
      <c r="BL40" t="str">
        <f>IF(VLOOKUP($A40,Tabelle1!$A$4:$BU$73,65,0)&lt;&gt;"",BL$1,"")</f>
        <v/>
      </c>
      <c r="BM40" t="str">
        <f>IF(VLOOKUP($A40,Tabelle1!$A$4:$BU$73,66,0)&lt;&gt;"",BM$1,"")</f>
        <v/>
      </c>
      <c r="BN40" t="str">
        <f>IF(VLOOKUP($A40,Tabelle1!$A$4:$BU$73,67,0)&lt;&gt;"",BN$1,"")</f>
        <v/>
      </c>
      <c r="BO40" t="str">
        <f>IF(VLOOKUP($A40,Tabelle1!$A$4:$BU$73,68,0)&lt;&gt;"",BO$1,"")</f>
        <v/>
      </c>
      <c r="BP40" t="str">
        <f>IF(VLOOKUP($A40,Tabelle1!$A$4:$BU$73,69,0)&lt;&gt;"",BP$1,"")</f>
        <v/>
      </c>
      <c r="BQ40" t="str">
        <f>IF(VLOOKUP($A40,Tabelle1!$A$4:$BU$73,70,0)&lt;&gt;"",BQ$1,"")</f>
        <v/>
      </c>
      <c r="BR40" t="str">
        <f>IF(VLOOKUP($A40,Tabelle1!$A$4:$BU$73,71,0)&lt;&gt;"",BR$1,"")</f>
        <v/>
      </c>
      <c r="BS40" t="str">
        <f>IF(VLOOKUP($A40,Tabelle1!$A$4:$BU$73,72,0)&lt;&gt;"",BS$1,"")</f>
        <v/>
      </c>
      <c r="BT40" t="str">
        <f>IF(VLOOKUP($A40,Tabelle1!$A$4:$BU$73,73,0)&lt;&gt;"",BT$1,"")</f>
        <v/>
      </c>
    </row>
    <row r="41" spans="1:72" x14ac:dyDescent="0.2">
      <c r="A41" t="s">
        <v>414</v>
      </c>
      <c r="B41">
        <v>20</v>
      </c>
      <c r="C41">
        <v>3.8</v>
      </c>
      <c r="D41" t="str">
        <f>IF(VLOOKUP($A41,Tabelle1!$A$4:$BU$73,5,0)&lt;&gt;"",D$1,"")</f>
        <v/>
      </c>
      <c r="E41" t="str">
        <f>IF(VLOOKUP($A41,Tabelle1!$A$4:$BU$73,6,0)&lt;&gt;"",E$1,"")</f>
        <v/>
      </c>
      <c r="F41" t="str">
        <f>IF(VLOOKUP($A41,Tabelle1!$A$4:$BU$73,7,0)&lt;&gt;"",F$1,"")</f>
        <v/>
      </c>
      <c r="G41" t="str">
        <f>IF(VLOOKUP($A41,Tabelle1!$A$4:$BU$73,8,0)&lt;&gt;"",G$1,"")</f>
        <v/>
      </c>
      <c r="H41" t="str">
        <f>IF(VLOOKUP($A41,Tabelle1!$A$4:$BU$73,9,0)&lt;&gt;"",H$1,"")</f>
        <v/>
      </c>
      <c r="I41" t="str">
        <f>IF(VLOOKUP($A41,Tabelle1!$A$4:$BU$73,10,0)&lt;&gt;"",I$1,"")</f>
        <v/>
      </c>
      <c r="J41" t="str">
        <f>IF(VLOOKUP($A41,Tabelle1!$A$4:$BU$73,11,0)&lt;&gt;"",J$1,"")</f>
        <v>Einjähriges Raygras (Westerwoldisches Raygras)</v>
      </c>
      <c r="K41" t="str">
        <f>IF(VLOOKUP($A41,Tabelle1!$A$4:$BU$73,12,0)&lt;&gt;"",K$1,"")</f>
        <v/>
      </c>
      <c r="L41" t="str">
        <f>IF(VLOOKUP($A41,Tabelle1!$A$4:$BU$73,13,0)&lt;&gt;"",L$1,"")</f>
        <v/>
      </c>
      <c r="M41" t="str">
        <f>IF(VLOOKUP($A41,Tabelle1!$A$4:$BU$73,14,0)&lt;&gt;"",M$1,"")</f>
        <v/>
      </c>
      <c r="N41" t="str">
        <f>IF(VLOOKUP($A41,Tabelle1!$A$4:$BU$73,15,0)&lt;&gt;"",N$1,"")</f>
        <v/>
      </c>
      <c r="O41" t="str">
        <f>IF(VLOOKUP($A41,Tabelle1!$A$4:$BU$73,16,0)&lt;&gt;"",O$1,"")</f>
        <v/>
      </c>
      <c r="P41" t="str">
        <f>IF(VLOOKUP($A41,Tabelle1!$A$4:$BU$73,17,0)&lt;&gt;"",P$1,"")</f>
        <v/>
      </c>
      <c r="Q41" t="str">
        <f>IF(VLOOKUP($A41,Tabelle1!$A$4:$BU$73,18,0)&lt;&gt;"",Q$1,"")</f>
        <v/>
      </c>
      <c r="R41" t="str">
        <f>IF(VLOOKUP($A41,Tabelle1!$A$4:$BU$73,19,0)&lt;&gt;"",R$1,"")</f>
        <v/>
      </c>
      <c r="S41" t="str">
        <f>IF(VLOOKUP($A41,Tabelle1!$A$4:$BU$73,20,0)&lt;&gt;"",S$1,"")</f>
        <v/>
      </c>
      <c r="T41" t="str">
        <f>IF(VLOOKUP($A41,Tabelle1!$A$4:$BU$73,21,0)&lt;&gt;"",T$1,"")</f>
        <v/>
      </c>
      <c r="U41" t="str">
        <f>IF(VLOOKUP($A41,Tabelle1!$A$4:$BU$73,22,0)&lt;&gt;"",U$1,"")</f>
        <v>Italienisches Raygras (Welsches Weidelgras)</v>
      </c>
      <c r="V41" t="str">
        <f>IF(VLOOKUP($A41,Tabelle1!$A$4:$BU$73,23,0)&lt;&gt;"",V$1,"")</f>
        <v/>
      </c>
      <c r="W41" t="str">
        <f>IF(VLOOKUP($A41,Tabelle1!$A$4:$BU$73,24,0)&lt;&gt;"",W$1,"")</f>
        <v/>
      </c>
      <c r="X41" t="str">
        <f>IF(VLOOKUP($A41,Tabelle1!$A$4:$BU$73,25,0)&lt;&gt;"",X$1,"")</f>
        <v/>
      </c>
      <c r="Y41" t="str">
        <f>IF(VLOOKUP($A41,Tabelle1!$A$4:$BU$73,26,0)&lt;&gt;"",Y$1,"")</f>
        <v/>
      </c>
      <c r="Z41" t="str">
        <f>IF(VLOOKUP($A41,Tabelle1!$A$4:$BU$73,27,0)&lt;&gt;"",Z$1,"")</f>
        <v/>
      </c>
      <c r="AA41" t="str">
        <f>IF(VLOOKUP($A41,Tabelle1!$A$4:$BU$73,28,0)&lt;&gt;"",AA$1,"")</f>
        <v/>
      </c>
      <c r="AB41" t="str">
        <f>IF(VLOOKUP($A41,Tabelle1!$A$4:$BU$73,29,0)&lt;&gt;"",AB$1,"")</f>
        <v/>
      </c>
      <c r="AC41" t="str">
        <f>IF(VLOOKUP($A41,Tabelle1!$A$4:$BU$73,30,0)&lt;&gt;"",AC$1,"")</f>
        <v/>
      </c>
      <c r="AD41" t="str">
        <f>IF(VLOOKUP($A41,Tabelle1!$A$4:$BU$73,31,0)&lt;&gt;"",AD$1,"")</f>
        <v/>
      </c>
      <c r="AE41" t="str">
        <f>IF(VLOOKUP($A41,Tabelle1!$A$4:$BU$73,32,0)&lt;&gt;"",AE$1,"")</f>
        <v/>
      </c>
      <c r="AF41" t="str">
        <f>IF(VLOOKUP($A41,Tabelle1!$A$4:$BU$73,33,0)&lt;&gt;"",AF$1,"")</f>
        <v/>
      </c>
      <c r="AG41" t="str">
        <f>IF(VLOOKUP($A41,Tabelle1!$A$4:$BU$73,34,0)&lt;&gt;"",AG$1,"")</f>
        <v/>
      </c>
      <c r="AH41" t="str">
        <f>IF(VLOOKUP($A41,Tabelle1!$A$4:$BU$73,35,0)&lt;&gt;"",AH$1,"")</f>
        <v/>
      </c>
      <c r="AI41" t="str">
        <f>IF(VLOOKUP($A41,Tabelle1!$A$4:$BU$73,36,0)&lt;&gt;"",AI$1,"")</f>
        <v/>
      </c>
      <c r="AJ41" t="str">
        <f>IF(VLOOKUP($A41,Tabelle1!$A$4:$BU$73,37,0)&lt;&gt;"",AJ$1,"")</f>
        <v/>
      </c>
      <c r="AK41" t="str">
        <f>IF(VLOOKUP($A41,Tabelle1!$A$4:$BU$73,38,0)&lt;&gt;"",AK$1,"")</f>
        <v/>
      </c>
      <c r="AL41" t="str">
        <f>IF(VLOOKUP($A41,Tabelle1!$A$4:$BU$73,39,0)&lt;&gt;"",AL$1,"")</f>
        <v/>
      </c>
      <c r="AM41" t="str">
        <f>IF(VLOOKUP($A41,Tabelle1!$A$4:$BU$73,40,0)&lt;&gt;"",AM$1,"")</f>
        <v/>
      </c>
      <c r="AN41" t="str">
        <f>IF(VLOOKUP($A41,Tabelle1!$A$4:$BU$73,41,0)&lt;&gt;"",AN$1,"")</f>
        <v/>
      </c>
      <c r="AO41" t="str">
        <f>IF(VLOOKUP($A41,Tabelle1!$A$4:$BU$73,42,0)&lt;&gt;"",AO$1,"")</f>
        <v/>
      </c>
      <c r="AP41" t="str">
        <f>IF(VLOOKUP($A41,Tabelle1!$A$4:$BU$73,43,0)&lt;&gt;"",AP$1,"")</f>
        <v/>
      </c>
      <c r="AQ41" t="str">
        <f>IF(VLOOKUP($A41,Tabelle1!$A$4:$BU$73,44,0)&lt;&gt;"",AQ$1,"")</f>
        <v/>
      </c>
      <c r="AR41" t="str">
        <f>IF(VLOOKUP($A41,Tabelle1!$A$4:$BU$73,45,0)&lt;&gt;"",AR$1,"")</f>
        <v/>
      </c>
      <c r="AS41" t="str">
        <f>IF(VLOOKUP($A41,Tabelle1!$A$4:$BU$73,46,0)&lt;&gt;"",AS$1,"")</f>
        <v/>
      </c>
      <c r="AT41" t="str">
        <f>IF(VLOOKUP($A41,Tabelle1!$A$4:$BU$73,47,0)&lt;&gt;"",AT$1,"")</f>
        <v/>
      </c>
      <c r="AU41" t="str">
        <f>IF(VLOOKUP($A41,Tabelle1!$A$4:$BU$73,48,0)&lt;&gt;"",AU$1,"")</f>
        <v/>
      </c>
      <c r="AV41" t="str">
        <f>IF(VLOOKUP($A41,Tabelle1!$A$4:$BU$73,49,0)&lt;&gt;"",AV$1,"")</f>
        <v/>
      </c>
      <c r="AW41" t="str">
        <f>IF(VLOOKUP($A41,Tabelle1!$A$4:$BU$73,50,0)&lt;&gt;"",AW$1,"")</f>
        <v/>
      </c>
      <c r="AX41" t="str">
        <f>IF(VLOOKUP($A41,Tabelle1!$A$4:$BU$73,51,0)&lt;&gt;"",AX$1,"")</f>
        <v/>
      </c>
      <c r="AY41" t="str">
        <f>IF(VLOOKUP($A41,Tabelle1!$A$4:$BU$73,52,0)&lt;&gt;"",AY$1,"")</f>
        <v/>
      </c>
      <c r="AZ41" t="str">
        <f>IF(VLOOKUP($A41,Tabelle1!$A$4:$BU$73,53,0)&lt;&gt;"",AZ$1,"")</f>
        <v>Weißklee</v>
      </c>
      <c r="BA41" t="str">
        <f>IF(VLOOKUP($A41,Tabelle1!$A$4:$BU$73,54,0)&lt;&gt;"",BA$1,"")</f>
        <v/>
      </c>
      <c r="BB41" t="str">
        <f>IF(VLOOKUP($A41,Tabelle1!$A$4:$BU$73,55,0)&lt;&gt;"",BB$1,"")</f>
        <v/>
      </c>
      <c r="BC41" t="str">
        <f>IF(VLOOKUP($A41,Tabelle1!$A$4:$BU$73,56,0)&lt;&gt;"",BC$1,"")</f>
        <v/>
      </c>
      <c r="BD41" t="str">
        <f>IF(VLOOKUP($A41,Tabelle1!$A$4:$BU$73,57,0)&lt;&gt;"",BD$1,"")</f>
        <v/>
      </c>
      <c r="BE41" t="str">
        <f>IF(VLOOKUP($A41,Tabelle1!$A$4:$BU$73,58,0)&lt;&gt;"",BE$1,"")</f>
        <v/>
      </c>
      <c r="BF41" t="str">
        <f>IF(VLOOKUP($A41,Tabelle1!$A$4:$BU$73,59,0)&lt;&gt;"",BF$1,"")</f>
        <v/>
      </c>
      <c r="BG41" t="str">
        <f>IF(VLOOKUP($A41,Tabelle1!$A$4:$BU$73,60,0)&lt;&gt;"",BG$1,"")</f>
        <v/>
      </c>
      <c r="BH41" t="str">
        <f>IF(VLOOKUP($A41,Tabelle1!$A$4:$BU$73,61,0)&lt;&gt;"",BH$1,"")</f>
        <v/>
      </c>
      <c r="BI41" t="str">
        <f>IF(VLOOKUP($A41,Tabelle1!$A$4:$BU$73,62,0)&lt;&gt;"",BI$1,"")</f>
        <v/>
      </c>
      <c r="BJ41" t="str">
        <f>IF(VLOOKUP($A41,Tabelle1!$A$4:$BU$73,63,0)&lt;&gt;"",BJ$1,"")</f>
        <v/>
      </c>
      <c r="BK41" t="str">
        <f>IF(VLOOKUP($A41,Tabelle1!$A$4:$BU$73,64,0)&lt;&gt;"",BK$1,"")</f>
        <v/>
      </c>
      <c r="BL41" t="str">
        <f>IF(VLOOKUP($A41,Tabelle1!$A$4:$BU$73,65,0)&lt;&gt;"",BL$1,"")</f>
        <v/>
      </c>
      <c r="BM41" t="str">
        <f>IF(VLOOKUP($A41,Tabelle1!$A$4:$BU$73,66,0)&lt;&gt;"",BM$1,"")</f>
        <v/>
      </c>
      <c r="BN41" t="str">
        <f>IF(VLOOKUP($A41,Tabelle1!$A$4:$BU$73,67,0)&lt;&gt;"",BN$1,"")</f>
        <v/>
      </c>
      <c r="BO41" t="str">
        <f>IF(VLOOKUP($A41,Tabelle1!$A$4:$BU$73,68,0)&lt;&gt;"",BO$1,"")</f>
        <v/>
      </c>
      <c r="BP41" t="str">
        <f>IF(VLOOKUP($A41,Tabelle1!$A$4:$BU$73,69,0)&lt;&gt;"",BP$1,"")</f>
        <v/>
      </c>
      <c r="BQ41" t="str">
        <f>IF(VLOOKUP($A41,Tabelle1!$A$4:$BU$73,70,0)&lt;&gt;"",BQ$1,"")</f>
        <v/>
      </c>
      <c r="BR41" t="str">
        <f>IF(VLOOKUP($A41,Tabelle1!$A$4:$BU$73,71,0)&lt;&gt;"",BR$1,"")</f>
        <v/>
      </c>
      <c r="BS41" t="str">
        <f>IF(VLOOKUP($A41,Tabelle1!$A$4:$BU$73,72,0)&lt;&gt;"",BS$1,"")</f>
        <v/>
      </c>
      <c r="BT41" t="str">
        <f>IF(VLOOKUP($A41,Tabelle1!$A$4:$BU$73,73,0)&lt;&gt;"",BT$1,"")</f>
        <v/>
      </c>
    </row>
    <row r="42" spans="1:72" x14ac:dyDescent="0.2">
      <c r="A42" t="s">
        <v>355</v>
      </c>
      <c r="B42">
        <v>20</v>
      </c>
      <c r="C42">
        <v>3.8</v>
      </c>
      <c r="D42" t="str">
        <f>IF(VLOOKUP($A42,Tabelle1!$A$4:$BU$73,5,0)&lt;&gt;"",D$1,"")</f>
        <v/>
      </c>
      <c r="E42" t="str">
        <f>IF(VLOOKUP($A42,Tabelle1!$A$4:$BU$73,6,0)&lt;&gt;"",E$1,"")</f>
        <v/>
      </c>
      <c r="F42" t="str">
        <f>IF(VLOOKUP($A42,Tabelle1!$A$4:$BU$73,7,0)&lt;&gt;"",F$1,"")</f>
        <v/>
      </c>
      <c r="G42" t="str">
        <f>IF(VLOOKUP($A42,Tabelle1!$A$4:$BU$73,8,0)&lt;&gt;"",G$1,"")</f>
        <v/>
      </c>
      <c r="H42" t="str">
        <f>IF(VLOOKUP($A42,Tabelle1!$A$4:$BU$73,9,0)&lt;&gt;"",H$1,"")</f>
        <v/>
      </c>
      <c r="I42" t="str">
        <f>IF(VLOOKUP($A42,Tabelle1!$A$4:$BU$73,10,0)&lt;&gt;"",I$1,"")</f>
        <v xml:space="preserve">Buchweizen </v>
      </c>
      <c r="J42" t="str">
        <f>IF(VLOOKUP($A42,Tabelle1!$A$4:$BU$73,11,0)&lt;&gt;"",J$1,"")</f>
        <v/>
      </c>
      <c r="K42" t="str">
        <f>IF(VLOOKUP($A42,Tabelle1!$A$4:$BU$73,12,0)&lt;&gt;"",K$1,"")</f>
        <v/>
      </c>
      <c r="L42" t="str">
        <f>IF(VLOOKUP($A42,Tabelle1!$A$4:$BU$73,13,0)&lt;&gt;"",L$1,"")</f>
        <v/>
      </c>
      <c r="M42" t="str">
        <f>IF(VLOOKUP($A42,Tabelle1!$A$4:$BU$73,14,0)&lt;&gt;"",M$1,"")</f>
        <v/>
      </c>
      <c r="N42" t="str">
        <f>IF(VLOOKUP($A42,Tabelle1!$A$4:$BU$73,15,0)&lt;&gt;"",N$1,"")</f>
        <v/>
      </c>
      <c r="O42" t="str">
        <f>IF(VLOOKUP($A42,Tabelle1!$A$4:$BU$73,16,0)&lt;&gt;"",O$1,"")</f>
        <v/>
      </c>
      <c r="P42" t="str">
        <f>IF(VLOOKUP($A42,Tabelle1!$A$4:$BU$73,17,0)&lt;&gt;"",P$1,"")</f>
        <v/>
      </c>
      <c r="Q42" t="str">
        <f>IF(VLOOKUP($A42,Tabelle1!$A$4:$BU$73,18,0)&lt;&gt;"",Q$1,"")</f>
        <v/>
      </c>
      <c r="R42" t="str">
        <f>IF(VLOOKUP($A42,Tabelle1!$A$4:$BU$73,19,0)&lt;&gt;"",R$1,"")</f>
        <v/>
      </c>
      <c r="S42" t="str">
        <f>IF(VLOOKUP($A42,Tabelle1!$A$4:$BU$73,20,0)&lt;&gt;"",S$1,"")</f>
        <v/>
      </c>
      <c r="T42" t="str">
        <f>IF(VLOOKUP($A42,Tabelle1!$A$4:$BU$73,21,0)&lt;&gt;"",T$1,"")</f>
        <v/>
      </c>
      <c r="U42" t="str">
        <f>IF(VLOOKUP($A42,Tabelle1!$A$4:$BU$73,22,0)&lt;&gt;"",U$1,"")</f>
        <v/>
      </c>
      <c r="V42" t="str">
        <f>IF(VLOOKUP($A42,Tabelle1!$A$4:$BU$73,23,0)&lt;&gt;"",V$1,"")</f>
        <v>Kresse</v>
      </c>
      <c r="W42" t="str">
        <f>IF(VLOOKUP($A42,Tabelle1!$A$4:$BU$73,24,0)&lt;&gt;"",W$1,"")</f>
        <v/>
      </c>
      <c r="X42" t="str">
        <f>IF(VLOOKUP($A42,Tabelle1!$A$4:$BU$73,25,0)&lt;&gt;"",X$1,"")</f>
        <v/>
      </c>
      <c r="Y42" t="str">
        <f>IF(VLOOKUP($A42,Tabelle1!$A$4:$BU$73,26,0)&lt;&gt;"",Y$1,"")</f>
        <v/>
      </c>
      <c r="Z42" t="str">
        <f>IF(VLOOKUP($A42,Tabelle1!$A$4:$BU$73,27,0)&lt;&gt;"",Z$1,"")</f>
        <v/>
      </c>
      <c r="AA42" t="str">
        <f>IF(VLOOKUP($A42,Tabelle1!$A$4:$BU$73,28,0)&lt;&gt;"",AA$1,"")</f>
        <v/>
      </c>
      <c r="AB42" t="str">
        <f>IF(VLOOKUP($A42,Tabelle1!$A$4:$BU$73,29,0)&lt;&gt;"",AB$1,"")</f>
        <v/>
      </c>
      <c r="AC42" t="str">
        <f>IF(VLOOKUP($A42,Tabelle1!$A$4:$BU$73,30,0)&lt;&gt;"",AC$1,"")</f>
        <v>Schwarzsamen/Ramtilkraut/Gingellikraut/Mungo</v>
      </c>
      <c r="AD42" t="str">
        <f>IF(VLOOKUP($A42,Tabelle1!$A$4:$BU$73,31,0)&lt;&gt;"",AD$1,"")</f>
        <v/>
      </c>
      <c r="AE42" t="str">
        <f>IF(VLOOKUP($A42,Tabelle1!$A$4:$BU$73,32,0)&lt;&gt;"",AE$1,"")</f>
        <v>Ölrettich</v>
      </c>
      <c r="AF42" t="str">
        <f>IF(VLOOKUP($A42,Tabelle1!$A$4:$BU$73,33,0)&lt;&gt;"",AF$1,"")</f>
        <v/>
      </c>
      <c r="AG42" t="str">
        <f>IF(VLOOKUP($A42,Tabelle1!$A$4:$BU$73,34,0)&lt;&gt;"",AG$1,"")</f>
        <v/>
      </c>
      <c r="AH42" t="str">
        <f>IF(VLOOKUP($A42,Tabelle1!$A$4:$BU$73,35,0)&lt;&gt;"",AH$1,"")</f>
        <v>Phazelie</v>
      </c>
      <c r="AI42" t="str">
        <f>IF(VLOOKUP($A42,Tabelle1!$A$4:$BU$73,36,0)&lt;&gt;"",AI$1,"")</f>
        <v/>
      </c>
      <c r="AJ42" t="str">
        <f>IF(VLOOKUP($A42,Tabelle1!$A$4:$BU$73,37,0)&lt;&gt;"",AJ$1,"")</f>
        <v/>
      </c>
      <c r="AK42" t="str">
        <f>IF(VLOOKUP($A42,Tabelle1!$A$4:$BU$73,38,0)&lt;&gt;"",AK$1,"")</f>
        <v/>
      </c>
      <c r="AL42" t="str">
        <f>IF(VLOOKUP($A42,Tabelle1!$A$4:$BU$73,39,0)&lt;&gt;"",AL$1,"")</f>
        <v/>
      </c>
      <c r="AM42" t="str">
        <f>IF(VLOOKUP($A42,Tabelle1!$A$4:$BU$73,40,0)&lt;&gt;"",AM$1,"")</f>
        <v/>
      </c>
      <c r="AN42" t="str">
        <f>IF(VLOOKUP($A42,Tabelle1!$A$4:$BU$73,41,0)&lt;&gt;"",AN$1,"")</f>
        <v/>
      </c>
      <c r="AO42" t="str">
        <f>IF(VLOOKUP($A42,Tabelle1!$A$4:$BU$73,42,0)&lt;&gt;"",AO$1,"")</f>
        <v>Sandhafer / Rauhafer</v>
      </c>
      <c r="AP42" t="str">
        <f>IF(VLOOKUP($A42,Tabelle1!$A$4:$BU$73,43,0)&lt;&gt;"",AP$1,"")</f>
        <v>Sarepta-Senf</v>
      </c>
      <c r="AQ42" t="str">
        <f>IF(VLOOKUP($A42,Tabelle1!$A$4:$BU$73,44,0)&lt;&gt;"",AQ$1,"")</f>
        <v/>
      </c>
      <c r="AR42" t="str">
        <f>IF(VLOOKUP($A42,Tabelle1!$A$4:$BU$73,45,0)&lt;&gt;"",AR$1,"")</f>
        <v/>
      </c>
      <c r="AS42" t="str">
        <f>IF(VLOOKUP($A42,Tabelle1!$A$4:$BU$73,46,0)&lt;&gt;"",AS$1,"")</f>
        <v/>
      </c>
      <c r="AT42" t="str">
        <f>IF(VLOOKUP($A42,Tabelle1!$A$4:$BU$73,47,0)&lt;&gt;"",AT$1,"")</f>
        <v/>
      </c>
      <c r="AU42" t="str">
        <f>IF(VLOOKUP($A42,Tabelle1!$A$4:$BU$73,48,0)&lt;&gt;"",AU$1,"")</f>
        <v/>
      </c>
      <c r="AV42" t="str">
        <f>IF(VLOOKUP($A42,Tabelle1!$A$4:$BU$73,49,0)&lt;&gt;"",AV$1,"")</f>
        <v/>
      </c>
      <c r="AW42" t="str">
        <f>IF(VLOOKUP($A42,Tabelle1!$A$4:$BU$73,50,0)&lt;&gt;"",AW$1,"")</f>
        <v/>
      </c>
      <c r="AX42" t="str">
        <f>IF(VLOOKUP($A42,Tabelle1!$A$4:$BU$73,51,0)&lt;&gt;"",AX$1,"")</f>
        <v/>
      </c>
      <c r="AY42" t="str">
        <f>IF(VLOOKUP($A42,Tabelle1!$A$4:$BU$73,52,0)&lt;&gt;"",AY$1,"")</f>
        <v/>
      </c>
      <c r="AZ42" t="str">
        <f>IF(VLOOKUP($A42,Tabelle1!$A$4:$BU$73,53,0)&lt;&gt;"",AZ$1,"")</f>
        <v/>
      </c>
      <c r="BA42" t="str">
        <f>IF(VLOOKUP($A42,Tabelle1!$A$4:$BU$73,54,0)&lt;&gt;"",BA$1,"")</f>
        <v/>
      </c>
      <c r="BB42" t="str">
        <f>IF(VLOOKUP($A42,Tabelle1!$A$4:$BU$73,55,0)&lt;&gt;"",BB$1,"")</f>
        <v/>
      </c>
      <c r="BC42" t="str">
        <f>IF(VLOOKUP($A42,Tabelle1!$A$4:$BU$73,56,0)&lt;&gt;"",BC$1,"")</f>
        <v>Winterrübsen</v>
      </c>
      <c r="BD42" t="str">
        <f>IF(VLOOKUP($A42,Tabelle1!$A$4:$BU$73,57,0)&lt;&gt;"",BD$1,"")</f>
        <v/>
      </c>
      <c r="BE42" t="str">
        <f>IF(VLOOKUP($A42,Tabelle1!$A$4:$BU$73,58,0)&lt;&gt;"",BE$1,"")</f>
        <v/>
      </c>
      <c r="BF42" t="str">
        <f>IF(VLOOKUP($A42,Tabelle1!$A$4:$BU$73,59,0)&lt;&gt;"",BF$1,"")</f>
        <v/>
      </c>
      <c r="BG42" t="str">
        <f>IF(VLOOKUP($A42,Tabelle1!$A$4:$BU$73,60,0)&lt;&gt;"",BG$1,"")</f>
        <v/>
      </c>
      <c r="BH42" t="str">
        <f>IF(VLOOKUP($A42,Tabelle1!$A$4:$BU$73,61,0)&lt;&gt;"",BH$1,"")</f>
        <v/>
      </c>
      <c r="BI42" t="str">
        <f>IF(VLOOKUP($A42,Tabelle1!$A$4:$BU$73,62,0)&lt;&gt;"",BI$1,"")</f>
        <v/>
      </c>
      <c r="BJ42" t="str">
        <f>IF(VLOOKUP($A42,Tabelle1!$A$4:$BU$73,63,0)&lt;&gt;"",BJ$1,"")</f>
        <v/>
      </c>
      <c r="BK42" t="str">
        <f>IF(VLOOKUP($A42,Tabelle1!$A$4:$BU$73,64,0)&lt;&gt;"",BK$1,"")</f>
        <v/>
      </c>
      <c r="BL42" t="str">
        <f>IF(VLOOKUP($A42,Tabelle1!$A$4:$BU$73,65,0)&lt;&gt;"",BL$1,"")</f>
        <v/>
      </c>
      <c r="BM42" t="str">
        <f>IF(VLOOKUP($A42,Tabelle1!$A$4:$BU$73,66,0)&lt;&gt;"",BM$1,"")</f>
        <v/>
      </c>
      <c r="BN42" t="str">
        <f>IF(VLOOKUP($A42,Tabelle1!$A$4:$BU$73,67,0)&lt;&gt;"",BN$1,"")</f>
        <v/>
      </c>
      <c r="BO42" t="str">
        <f>IF(VLOOKUP($A42,Tabelle1!$A$4:$BU$73,68,0)&lt;&gt;"",BO$1,"")</f>
        <v/>
      </c>
      <c r="BP42" t="str">
        <f>IF(VLOOKUP($A42,Tabelle1!$A$4:$BU$73,69,0)&lt;&gt;"",BP$1,"")</f>
        <v/>
      </c>
      <c r="BQ42" t="str">
        <f>IF(VLOOKUP($A42,Tabelle1!$A$4:$BU$73,70,0)&lt;&gt;"",BQ$1,"")</f>
        <v/>
      </c>
      <c r="BR42" t="str">
        <f>IF(VLOOKUP($A42,Tabelle1!$A$4:$BU$73,71,0)&lt;&gt;"",BR$1,"")</f>
        <v/>
      </c>
      <c r="BS42" t="str">
        <f>IF(VLOOKUP($A42,Tabelle1!$A$4:$BU$73,72,0)&lt;&gt;"",BS$1,"")</f>
        <v/>
      </c>
      <c r="BT42" t="str">
        <f>IF(VLOOKUP($A42,Tabelle1!$A$4:$BU$73,73,0)&lt;&gt;"",BT$1,"")</f>
        <v/>
      </c>
    </row>
    <row r="43" spans="1:72" x14ac:dyDescent="0.2">
      <c r="A43" t="s">
        <v>356</v>
      </c>
      <c r="B43">
        <v>15</v>
      </c>
      <c r="C43">
        <v>5.59</v>
      </c>
      <c r="D43" t="str">
        <f>IF(VLOOKUP($A43,Tabelle1!$A$4:$BU$73,5,0)&lt;&gt;"",D$1,"")</f>
        <v/>
      </c>
      <c r="E43" t="str">
        <f>IF(VLOOKUP($A43,Tabelle1!$A$4:$BU$73,6,0)&lt;&gt;"",E$1,"")</f>
        <v/>
      </c>
      <c r="F43" t="str">
        <f>IF(VLOOKUP($A43,Tabelle1!$A$4:$BU$73,7,0)&lt;&gt;"",F$1,"")</f>
        <v>Alexandrinerklee</v>
      </c>
      <c r="G43" t="str">
        <f>IF(VLOOKUP($A43,Tabelle1!$A$4:$BU$73,8,0)&lt;&gt;"",G$1,"")</f>
        <v/>
      </c>
      <c r="H43" t="str">
        <f>IF(VLOOKUP($A43,Tabelle1!$A$4:$BU$73,9,0)&lt;&gt;"",H$1,"")</f>
        <v/>
      </c>
      <c r="I43" t="str">
        <f>IF(VLOOKUP($A43,Tabelle1!$A$4:$BU$73,10,0)&lt;&gt;"",I$1,"")</f>
        <v/>
      </c>
      <c r="J43" t="str">
        <f>IF(VLOOKUP($A43,Tabelle1!$A$4:$BU$73,11,0)&lt;&gt;"",J$1,"")</f>
        <v/>
      </c>
      <c r="K43" t="str">
        <f>IF(VLOOKUP($A43,Tabelle1!$A$4:$BU$73,12,0)&lt;&gt;"",K$1,"")</f>
        <v/>
      </c>
      <c r="L43" t="str">
        <f>IF(VLOOKUP($A43,Tabelle1!$A$4:$BU$73,13,0)&lt;&gt;"",L$1,"")</f>
        <v/>
      </c>
      <c r="M43" t="str">
        <f>IF(VLOOKUP($A43,Tabelle1!$A$4:$BU$73,14,0)&lt;&gt;"",M$1,"")</f>
        <v/>
      </c>
      <c r="N43" t="str">
        <f>IF(VLOOKUP($A43,Tabelle1!$A$4:$BU$73,15,0)&lt;&gt;"",N$1,"")</f>
        <v/>
      </c>
      <c r="O43" t="str">
        <f>IF(VLOOKUP($A43,Tabelle1!$A$4:$BU$73,16,0)&lt;&gt;"",O$1,"")</f>
        <v/>
      </c>
      <c r="P43" t="str">
        <f>IF(VLOOKUP($A43,Tabelle1!$A$4:$BU$73,17,0)&lt;&gt;"",P$1,"")</f>
        <v/>
      </c>
      <c r="Q43" t="str">
        <f>IF(VLOOKUP($A43,Tabelle1!$A$4:$BU$73,18,0)&lt;&gt;"",Q$1,"")</f>
        <v/>
      </c>
      <c r="R43" t="str">
        <f>IF(VLOOKUP($A43,Tabelle1!$A$4:$BU$73,19,0)&lt;&gt;"",R$1,"")</f>
        <v/>
      </c>
      <c r="S43" t="str">
        <f>IF(VLOOKUP($A43,Tabelle1!$A$4:$BU$73,20,0)&lt;&gt;"",S$1,"")</f>
        <v/>
      </c>
      <c r="T43" t="str">
        <f>IF(VLOOKUP($A43,Tabelle1!$A$4:$BU$73,21,0)&lt;&gt;"",T$1,"")</f>
        <v/>
      </c>
      <c r="U43" t="str">
        <f>IF(VLOOKUP($A43,Tabelle1!$A$4:$BU$73,22,0)&lt;&gt;"",U$1,"")</f>
        <v/>
      </c>
      <c r="V43" t="str">
        <f>IF(VLOOKUP($A43,Tabelle1!$A$4:$BU$73,23,0)&lt;&gt;"",V$1,"")</f>
        <v/>
      </c>
      <c r="W43" t="str">
        <f>IF(VLOOKUP($A43,Tabelle1!$A$4:$BU$73,24,0)&lt;&gt;"",W$1,"")</f>
        <v/>
      </c>
      <c r="X43" t="str">
        <f>IF(VLOOKUP($A43,Tabelle1!$A$4:$BU$73,25,0)&lt;&gt;"",X$1,"")</f>
        <v/>
      </c>
      <c r="Y43" t="str">
        <f>IF(VLOOKUP($A43,Tabelle1!$A$4:$BU$73,26,0)&lt;&gt;"",Y$1,"")</f>
        <v/>
      </c>
      <c r="Z43" t="str">
        <f>IF(VLOOKUP($A43,Tabelle1!$A$4:$BU$73,27,0)&lt;&gt;"",Z$1,"")</f>
        <v/>
      </c>
      <c r="AA43" t="str">
        <f>IF(VLOOKUP($A43,Tabelle1!$A$4:$BU$73,28,0)&lt;&gt;"",AA$1,"")</f>
        <v/>
      </c>
      <c r="AB43" t="str">
        <f>IF(VLOOKUP($A43,Tabelle1!$A$4:$BU$73,29,0)&lt;&gt;"",AB$1,"")</f>
        <v/>
      </c>
      <c r="AC43" t="str">
        <f>IF(VLOOKUP($A43,Tabelle1!$A$4:$BU$73,30,0)&lt;&gt;"",AC$1,"")</f>
        <v/>
      </c>
      <c r="AD43" t="str">
        <f>IF(VLOOKUP($A43,Tabelle1!$A$4:$BU$73,31,0)&lt;&gt;"",AD$1,"")</f>
        <v/>
      </c>
      <c r="AE43" t="str">
        <f>IF(VLOOKUP($A43,Tabelle1!$A$4:$BU$73,32,0)&lt;&gt;"",AE$1,"")</f>
        <v/>
      </c>
      <c r="AF43" t="str">
        <f>IF(VLOOKUP($A43,Tabelle1!$A$4:$BU$73,33,0)&lt;&gt;"",AF$1,"")</f>
        <v>Ölrettich nematodenhemmend</v>
      </c>
      <c r="AG43" t="str">
        <f>IF(VLOOKUP($A43,Tabelle1!$A$4:$BU$73,34,0)&lt;&gt;"",AG$1,"")</f>
        <v>Persischer Klee</v>
      </c>
      <c r="AH43" t="str">
        <f>IF(VLOOKUP($A43,Tabelle1!$A$4:$BU$73,35,0)&lt;&gt;"",AH$1,"")</f>
        <v/>
      </c>
      <c r="AI43" t="str">
        <f>IF(VLOOKUP($A43,Tabelle1!$A$4:$BU$73,36,0)&lt;&gt;"",AI$1,"")</f>
        <v/>
      </c>
      <c r="AJ43" t="str">
        <f>IF(VLOOKUP($A43,Tabelle1!$A$4:$BU$73,37,0)&lt;&gt;"",AJ$1,"")</f>
        <v xml:space="preserve">Ringelblume </v>
      </c>
      <c r="AK43" t="str">
        <f>IF(VLOOKUP($A43,Tabelle1!$A$4:$BU$73,38,0)&lt;&gt;"",AK$1,"")</f>
        <v/>
      </c>
      <c r="AL43" t="str">
        <f>IF(VLOOKUP($A43,Tabelle1!$A$4:$BU$73,39,0)&lt;&gt;"",AL$1,"")</f>
        <v/>
      </c>
      <c r="AM43" t="str">
        <f>IF(VLOOKUP($A43,Tabelle1!$A$4:$BU$73,40,0)&lt;&gt;"",AM$1,"")</f>
        <v/>
      </c>
      <c r="AN43" t="str">
        <f>IF(VLOOKUP($A43,Tabelle1!$A$4:$BU$73,41,0)&lt;&gt;"",AN$1,"")</f>
        <v/>
      </c>
      <c r="AO43" t="str">
        <f>IF(VLOOKUP($A43,Tabelle1!$A$4:$BU$73,42,0)&lt;&gt;"",AO$1,"")</f>
        <v>Sandhafer / Rauhafer</v>
      </c>
      <c r="AP43" t="str">
        <f>IF(VLOOKUP($A43,Tabelle1!$A$4:$BU$73,43,0)&lt;&gt;"",AP$1,"")</f>
        <v/>
      </c>
      <c r="AQ43" t="str">
        <f>IF(VLOOKUP($A43,Tabelle1!$A$4:$BU$73,44,0)&lt;&gt;"",AQ$1,"")</f>
        <v/>
      </c>
      <c r="AR43" t="str">
        <f>IF(VLOOKUP($A43,Tabelle1!$A$4:$BU$73,45,0)&lt;&gt;"",AR$1,"")</f>
        <v/>
      </c>
      <c r="AS43" t="str">
        <f>IF(VLOOKUP($A43,Tabelle1!$A$4:$BU$73,46,0)&lt;&gt;"",AS$1,"")</f>
        <v>Senf nematodenhemmend / neamtodenresistent</v>
      </c>
      <c r="AT43" t="str">
        <f>IF(VLOOKUP($A43,Tabelle1!$A$4:$BU$73,47,0)&lt;&gt;"",AT$1,"")</f>
        <v/>
      </c>
      <c r="AU43" t="str">
        <f>IF(VLOOKUP($A43,Tabelle1!$A$4:$BU$73,48,0)&lt;&gt;"",AU$1,"")</f>
        <v/>
      </c>
      <c r="AV43" t="str">
        <f>IF(VLOOKUP($A43,Tabelle1!$A$4:$BU$73,49,0)&lt;&gt;"",AV$1,"")</f>
        <v/>
      </c>
      <c r="AW43" t="str">
        <f>IF(VLOOKUP($A43,Tabelle1!$A$4:$BU$73,50,0)&lt;&gt;"",AW$1,"")</f>
        <v/>
      </c>
      <c r="AX43" t="str">
        <f>IF(VLOOKUP($A43,Tabelle1!$A$4:$BU$73,51,0)&lt;&gt;"",AX$1,"")</f>
        <v/>
      </c>
      <c r="AY43" t="str">
        <f>IF(VLOOKUP($A43,Tabelle1!$A$4:$BU$73,52,0)&lt;&gt;"",AY$1,"")</f>
        <v/>
      </c>
      <c r="AZ43" t="str">
        <f>IF(VLOOKUP($A43,Tabelle1!$A$4:$BU$73,53,0)&lt;&gt;"",AZ$1,"")</f>
        <v/>
      </c>
      <c r="BA43" t="str">
        <f>IF(VLOOKUP($A43,Tabelle1!$A$4:$BU$73,54,0)&lt;&gt;"",BA$1,"")</f>
        <v/>
      </c>
      <c r="BB43" t="str">
        <f>IF(VLOOKUP($A43,Tabelle1!$A$4:$BU$73,55,0)&lt;&gt;"",BB$1,"")</f>
        <v/>
      </c>
      <c r="BC43" t="str">
        <f>IF(VLOOKUP($A43,Tabelle1!$A$4:$BU$73,56,0)&lt;&gt;"",BC$1,"")</f>
        <v/>
      </c>
      <c r="BD43" t="str">
        <f>IF(VLOOKUP($A43,Tabelle1!$A$4:$BU$73,57,0)&lt;&gt;"",BD$1,"")</f>
        <v/>
      </c>
      <c r="BE43" t="str">
        <f>IF(VLOOKUP($A43,Tabelle1!$A$4:$BU$73,58,0)&lt;&gt;"",BE$1,"")</f>
        <v/>
      </c>
      <c r="BF43" t="str">
        <f>IF(VLOOKUP($A43,Tabelle1!$A$4:$BU$73,59,0)&lt;&gt;"",BF$1,"")</f>
        <v/>
      </c>
      <c r="BG43" t="str">
        <f>IF(VLOOKUP($A43,Tabelle1!$A$4:$BU$73,60,0)&lt;&gt;"",BG$1,"")</f>
        <v/>
      </c>
      <c r="BH43" t="str">
        <f>IF(VLOOKUP($A43,Tabelle1!$A$4:$BU$73,61,0)&lt;&gt;"",BH$1,"")</f>
        <v/>
      </c>
      <c r="BI43" t="str">
        <f>IF(VLOOKUP($A43,Tabelle1!$A$4:$BU$73,62,0)&lt;&gt;"",BI$1,"")</f>
        <v/>
      </c>
      <c r="BJ43" t="str">
        <f>IF(VLOOKUP($A43,Tabelle1!$A$4:$BU$73,63,0)&lt;&gt;"",BJ$1,"")</f>
        <v/>
      </c>
      <c r="BK43" t="str">
        <f>IF(VLOOKUP($A43,Tabelle1!$A$4:$BU$73,64,0)&lt;&gt;"",BK$1,"")</f>
        <v/>
      </c>
      <c r="BL43" t="str">
        <f>IF(VLOOKUP($A43,Tabelle1!$A$4:$BU$73,65,0)&lt;&gt;"",BL$1,"")</f>
        <v/>
      </c>
      <c r="BM43" t="str">
        <f>IF(VLOOKUP($A43,Tabelle1!$A$4:$BU$73,66,0)&lt;&gt;"",BM$1,"")</f>
        <v/>
      </c>
      <c r="BN43" t="str">
        <f>IF(VLOOKUP($A43,Tabelle1!$A$4:$BU$73,67,0)&lt;&gt;"",BN$1,"")</f>
        <v/>
      </c>
      <c r="BO43" t="str">
        <f>IF(VLOOKUP($A43,Tabelle1!$A$4:$BU$73,68,0)&lt;&gt;"",BO$1,"")</f>
        <v/>
      </c>
      <c r="BP43" t="str">
        <f>IF(VLOOKUP($A43,Tabelle1!$A$4:$BU$73,69,0)&lt;&gt;"",BP$1,"")</f>
        <v/>
      </c>
      <c r="BQ43" t="str">
        <f>IF(VLOOKUP($A43,Tabelle1!$A$4:$BU$73,70,0)&lt;&gt;"",BQ$1,"")</f>
        <v/>
      </c>
      <c r="BR43" t="str">
        <f>IF(VLOOKUP($A43,Tabelle1!$A$4:$BU$73,71,0)&lt;&gt;"",BR$1,"")</f>
        <v/>
      </c>
      <c r="BS43" t="str">
        <f>IF(VLOOKUP($A43,Tabelle1!$A$4:$BU$73,72,0)&lt;&gt;"",BS$1,"")</f>
        <v/>
      </c>
      <c r="BT43" t="str">
        <f>IF(VLOOKUP($A43,Tabelle1!$A$4:$BU$73,73,0)&lt;&gt;"",BT$1,"")</f>
        <v>Studentenblume</v>
      </c>
    </row>
    <row r="44" spans="1:72" x14ac:dyDescent="0.2">
      <c r="A44" t="s">
        <v>723</v>
      </c>
      <c r="B44">
        <v>16</v>
      </c>
      <c r="C44">
        <v>3.58</v>
      </c>
      <c r="D44" t="str">
        <f>IF(VLOOKUP($A44,Tabelle1!$A$4:$BU$73,5,0)&lt;&gt;"",D$1,"")</f>
        <v/>
      </c>
      <c r="E44" t="str">
        <f>IF(VLOOKUP($A44,Tabelle1!$A$4:$BU$73,6,0)&lt;&gt;"",E$1,"")</f>
        <v/>
      </c>
      <c r="F44" t="str">
        <f>IF(VLOOKUP($A44,Tabelle1!$A$4:$BU$73,7,0)&lt;&gt;"",F$1,"")</f>
        <v/>
      </c>
      <c r="G44" t="str">
        <f>IF(VLOOKUP($A44,Tabelle1!$A$4:$BU$73,8,0)&lt;&gt;"",G$1,"")</f>
        <v/>
      </c>
      <c r="H44" t="str">
        <f>IF(VLOOKUP($A44,Tabelle1!$A$4:$BU$73,9,0)&lt;&gt;"",H$1,"")</f>
        <v/>
      </c>
      <c r="I44" t="str">
        <f>IF(VLOOKUP($A44,Tabelle1!$A$4:$BU$73,10,0)&lt;&gt;"",I$1,"")</f>
        <v xml:space="preserve">Buchweizen </v>
      </c>
      <c r="J44" t="str">
        <f>IF(VLOOKUP($A44,Tabelle1!$A$4:$BU$73,11,0)&lt;&gt;"",J$1,"")</f>
        <v/>
      </c>
      <c r="K44" t="str">
        <f>IF(VLOOKUP($A44,Tabelle1!$A$4:$BU$73,12,0)&lt;&gt;"",K$1,"")</f>
        <v/>
      </c>
      <c r="L44" t="str">
        <f>IF(VLOOKUP($A44,Tabelle1!$A$4:$BU$73,13,0)&lt;&gt;"",L$1,"")</f>
        <v/>
      </c>
      <c r="M44" t="str">
        <f>IF(VLOOKUP($A44,Tabelle1!$A$4:$BU$73,14,0)&lt;&gt;"",M$1,"")</f>
        <v/>
      </c>
      <c r="N44" t="str">
        <f>IF(VLOOKUP($A44,Tabelle1!$A$4:$BU$73,15,0)&lt;&gt;"",N$1,"")</f>
        <v/>
      </c>
      <c r="O44" t="str">
        <f>IF(VLOOKUP($A44,Tabelle1!$A$4:$BU$73,16,0)&lt;&gt;"",O$1,"")</f>
        <v/>
      </c>
      <c r="P44" t="str">
        <f>IF(VLOOKUP($A44,Tabelle1!$A$4:$BU$73,17,0)&lt;&gt;"",P$1,"")</f>
        <v/>
      </c>
      <c r="Q44" t="str">
        <f>IF(VLOOKUP($A44,Tabelle1!$A$4:$BU$73,18,0)&lt;&gt;"",Q$1,"")</f>
        <v/>
      </c>
      <c r="R44" t="str">
        <f>IF(VLOOKUP($A44,Tabelle1!$A$4:$BU$73,19,0)&lt;&gt;"",R$1,"")</f>
        <v/>
      </c>
      <c r="S44" t="str">
        <f>IF(VLOOKUP($A44,Tabelle1!$A$4:$BU$73,20,0)&lt;&gt;"",S$1,"")</f>
        <v/>
      </c>
      <c r="T44" t="str">
        <f>IF(VLOOKUP($A44,Tabelle1!$A$4:$BU$73,21,0)&lt;&gt;"",T$1,"")</f>
        <v>Inkarnatklee</v>
      </c>
      <c r="U44" t="str">
        <f>IF(VLOOKUP($A44,Tabelle1!$A$4:$BU$73,22,0)&lt;&gt;"",U$1,"")</f>
        <v/>
      </c>
      <c r="V44" t="str">
        <f>IF(VLOOKUP($A44,Tabelle1!$A$4:$BU$73,23,0)&lt;&gt;"",V$1,"")</f>
        <v>Kresse</v>
      </c>
      <c r="W44" t="str">
        <f>IF(VLOOKUP($A44,Tabelle1!$A$4:$BU$73,24,0)&lt;&gt;"",W$1,"")</f>
        <v/>
      </c>
      <c r="X44" t="str">
        <f>IF(VLOOKUP($A44,Tabelle1!$A$4:$BU$73,25,0)&lt;&gt;"",X$1,"")</f>
        <v/>
      </c>
      <c r="Y44" t="str">
        <f>IF(VLOOKUP($A44,Tabelle1!$A$4:$BU$73,26,0)&lt;&gt;"",Y$1,"")</f>
        <v/>
      </c>
      <c r="Z44" t="str">
        <f>IF(VLOOKUP($A44,Tabelle1!$A$4:$BU$73,27,0)&lt;&gt;"",Z$1,"")</f>
        <v/>
      </c>
      <c r="AA44" t="str">
        <f>IF(VLOOKUP($A44,Tabelle1!$A$4:$BU$73,28,0)&lt;&gt;"",AA$1,"")</f>
        <v/>
      </c>
      <c r="AB44" t="str">
        <f>IF(VLOOKUP($A44,Tabelle1!$A$4:$BU$73,29,0)&lt;&gt;"",AB$1,"")</f>
        <v>Meliorationsrettich</v>
      </c>
      <c r="AC44" t="str">
        <f>IF(VLOOKUP($A44,Tabelle1!$A$4:$BU$73,30,0)&lt;&gt;"",AC$1,"")</f>
        <v/>
      </c>
      <c r="AD44" t="str">
        <f>IF(VLOOKUP($A44,Tabelle1!$A$4:$BU$73,31,0)&lt;&gt;"",AD$1,"")</f>
        <v/>
      </c>
      <c r="AE44" t="str">
        <f>IF(VLOOKUP($A44,Tabelle1!$A$4:$BU$73,32,0)&lt;&gt;"",AE$1,"")</f>
        <v>Ölrettich</v>
      </c>
      <c r="AF44" t="str">
        <f>IF(VLOOKUP($A44,Tabelle1!$A$4:$BU$73,33,0)&lt;&gt;"",AF$1,"")</f>
        <v/>
      </c>
      <c r="AG44" t="str">
        <f>IF(VLOOKUP($A44,Tabelle1!$A$4:$BU$73,34,0)&lt;&gt;"",AG$1,"")</f>
        <v/>
      </c>
      <c r="AH44" t="str">
        <f>IF(VLOOKUP($A44,Tabelle1!$A$4:$BU$73,35,0)&lt;&gt;"",AH$1,"")</f>
        <v>Phazelie</v>
      </c>
      <c r="AI44" t="str">
        <f>IF(VLOOKUP($A44,Tabelle1!$A$4:$BU$73,36,0)&lt;&gt;"",AI$1,"")</f>
        <v/>
      </c>
      <c r="AJ44" t="str">
        <f>IF(VLOOKUP($A44,Tabelle1!$A$4:$BU$73,37,0)&lt;&gt;"",AJ$1,"")</f>
        <v/>
      </c>
      <c r="AK44" t="str">
        <f>IF(VLOOKUP($A44,Tabelle1!$A$4:$BU$73,38,0)&lt;&gt;"",AK$1,"")</f>
        <v/>
      </c>
      <c r="AL44" t="str">
        <f>IF(VLOOKUP($A44,Tabelle1!$A$4:$BU$73,39,0)&lt;&gt;"",AL$1,"")</f>
        <v/>
      </c>
      <c r="AM44" t="str">
        <f>IF(VLOOKUP($A44,Tabelle1!$A$4:$BU$73,40,0)&lt;&gt;"",AM$1,"")</f>
        <v/>
      </c>
      <c r="AN44" t="str">
        <f>IF(VLOOKUP($A44,Tabelle1!$A$4:$BU$73,41,0)&lt;&gt;"",AN$1,"")</f>
        <v/>
      </c>
      <c r="AO44" t="str">
        <f>IF(VLOOKUP($A44,Tabelle1!$A$4:$BU$73,42,0)&lt;&gt;"",AO$1,"")</f>
        <v/>
      </c>
      <c r="AP44" t="str">
        <f>IF(VLOOKUP($A44,Tabelle1!$A$4:$BU$73,43,0)&lt;&gt;"",AP$1,"")</f>
        <v/>
      </c>
      <c r="AQ44" t="str">
        <f>IF(VLOOKUP($A44,Tabelle1!$A$4:$BU$73,44,0)&lt;&gt;"",AQ$1,"")</f>
        <v/>
      </c>
      <c r="AR44" t="str">
        <f>IF(VLOOKUP($A44,Tabelle1!$A$4:$BU$73,45,0)&lt;&gt;"",AR$1,"")</f>
        <v>Senf</v>
      </c>
      <c r="AS44" t="str">
        <f>IF(VLOOKUP($A44,Tabelle1!$A$4:$BU$73,46,0)&lt;&gt;"",AS$1,"")</f>
        <v/>
      </c>
      <c r="AT44" t="str">
        <f>IF(VLOOKUP($A44,Tabelle1!$A$4:$BU$73,47,0)&lt;&gt;"",AT$1,"")</f>
        <v/>
      </c>
      <c r="AU44" t="str">
        <f>IF(VLOOKUP($A44,Tabelle1!$A$4:$BU$73,48,0)&lt;&gt;"",AU$1,"")</f>
        <v/>
      </c>
      <c r="AV44" t="str">
        <f>IF(VLOOKUP($A44,Tabelle1!$A$4:$BU$73,49,0)&lt;&gt;"",AV$1,"")</f>
        <v/>
      </c>
      <c r="AW44" t="str">
        <f>IF(VLOOKUP($A44,Tabelle1!$A$4:$BU$73,50,0)&lt;&gt;"",AW$1,"")</f>
        <v/>
      </c>
      <c r="AX44" t="str">
        <f>IF(VLOOKUP($A44,Tabelle1!$A$4:$BU$73,51,0)&lt;&gt;"",AX$1,"")</f>
        <v/>
      </c>
      <c r="AY44" t="str">
        <f>IF(VLOOKUP($A44,Tabelle1!$A$4:$BU$73,52,0)&lt;&gt;"",AY$1,"")</f>
        <v/>
      </c>
      <c r="AZ44" t="str">
        <f>IF(VLOOKUP($A44,Tabelle1!$A$4:$BU$73,53,0)&lt;&gt;"",AZ$1,"")</f>
        <v/>
      </c>
      <c r="BA44" t="str">
        <f>IF(VLOOKUP($A44,Tabelle1!$A$4:$BU$73,54,0)&lt;&gt;"",BA$1,"")</f>
        <v/>
      </c>
      <c r="BB44" t="str">
        <f>IF(VLOOKUP($A44,Tabelle1!$A$4:$BU$73,55,0)&lt;&gt;"",BB$1,"")</f>
        <v/>
      </c>
      <c r="BC44" t="str">
        <f>IF(VLOOKUP($A44,Tabelle1!$A$4:$BU$73,56,0)&lt;&gt;"",BC$1,"")</f>
        <v/>
      </c>
      <c r="BD44" t="str">
        <f>IF(VLOOKUP($A44,Tabelle1!$A$4:$BU$73,57,0)&lt;&gt;"",BD$1,"")</f>
        <v/>
      </c>
      <c r="BE44" t="str">
        <f>IF(VLOOKUP($A44,Tabelle1!$A$4:$BU$73,58,0)&lt;&gt;"",BE$1,"")</f>
        <v/>
      </c>
      <c r="BF44" t="str">
        <f>IF(VLOOKUP($A44,Tabelle1!$A$4:$BU$73,59,0)&lt;&gt;"",BF$1,"")</f>
        <v/>
      </c>
      <c r="BG44" t="str">
        <f>IF(VLOOKUP($A44,Tabelle1!$A$4:$BU$73,60,0)&lt;&gt;"",BG$1,"")</f>
        <v/>
      </c>
      <c r="BH44" t="str">
        <f>IF(VLOOKUP($A44,Tabelle1!$A$4:$BU$73,61,0)&lt;&gt;"",BH$1,"")</f>
        <v/>
      </c>
      <c r="BI44" t="str">
        <f>IF(VLOOKUP($A44,Tabelle1!$A$4:$BU$73,62,0)&lt;&gt;"",BI$1,"")</f>
        <v/>
      </c>
      <c r="BJ44" t="str">
        <f>IF(VLOOKUP($A44,Tabelle1!$A$4:$BU$73,63,0)&lt;&gt;"",BJ$1,"")</f>
        <v/>
      </c>
      <c r="BK44" t="str">
        <f>IF(VLOOKUP($A44,Tabelle1!$A$4:$BU$73,64,0)&lt;&gt;"",BK$1,"")</f>
        <v/>
      </c>
      <c r="BL44" t="str">
        <f>IF(VLOOKUP($A44,Tabelle1!$A$4:$BU$73,65,0)&lt;&gt;"",BL$1,"")</f>
        <v/>
      </c>
      <c r="BM44" t="str">
        <f>IF(VLOOKUP($A44,Tabelle1!$A$4:$BU$73,66,0)&lt;&gt;"",BM$1,"")</f>
        <v/>
      </c>
      <c r="BN44" t="str">
        <f>IF(VLOOKUP($A44,Tabelle1!$A$4:$BU$73,67,0)&lt;&gt;"",BN$1,"")</f>
        <v/>
      </c>
      <c r="BO44" t="str">
        <f>IF(VLOOKUP($A44,Tabelle1!$A$4:$BU$73,68,0)&lt;&gt;"",BO$1,"")</f>
        <v/>
      </c>
      <c r="BP44" t="str">
        <f>IF(VLOOKUP($A44,Tabelle1!$A$4:$BU$73,69,0)&lt;&gt;"",BP$1,"")</f>
        <v/>
      </c>
      <c r="BQ44" t="str">
        <f>IF(VLOOKUP($A44,Tabelle1!$A$4:$BU$73,70,0)&lt;&gt;"",BQ$1,"")</f>
        <v/>
      </c>
      <c r="BR44" t="str">
        <f>IF(VLOOKUP($A44,Tabelle1!$A$4:$BU$73,71,0)&lt;&gt;"",BR$1,"")</f>
        <v/>
      </c>
      <c r="BS44" t="str">
        <f>IF(VLOOKUP($A44,Tabelle1!$A$4:$BU$73,72,0)&lt;&gt;"",BS$1,"")</f>
        <v/>
      </c>
      <c r="BT44" t="str">
        <f>IF(VLOOKUP($A44,Tabelle1!$A$4:$BU$73,73,0)&lt;&gt;"",BT$1,"")</f>
        <v/>
      </c>
    </row>
    <row r="45" spans="1:72" x14ac:dyDescent="0.2">
      <c r="A45" t="s">
        <v>724</v>
      </c>
      <c r="B45">
        <v>14</v>
      </c>
      <c r="C45">
        <v>3.8</v>
      </c>
      <c r="D45" t="str">
        <f>IF(VLOOKUP($A45,Tabelle1!$A$4:$BU$73,5,0)&lt;&gt;"",D$1,"")</f>
        <v/>
      </c>
      <c r="E45" t="str">
        <f>IF(VLOOKUP($A45,Tabelle1!$A$4:$BU$73,6,0)&lt;&gt;"",E$1,"")</f>
        <v/>
      </c>
      <c r="F45" t="str">
        <f>IF(VLOOKUP($A45,Tabelle1!$A$4:$BU$73,7,0)&lt;&gt;"",F$1,"")</f>
        <v>Alexandrinerklee</v>
      </c>
      <c r="G45" t="str">
        <f>IF(VLOOKUP($A45,Tabelle1!$A$4:$BU$73,8,0)&lt;&gt;"",G$1,"")</f>
        <v/>
      </c>
      <c r="H45" t="str">
        <f>IF(VLOOKUP($A45,Tabelle1!$A$4:$BU$73,9,0)&lt;&gt;"",H$1,"")</f>
        <v/>
      </c>
      <c r="I45" t="str">
        <f>IF(VLOOKUP($A45,Tabelle1!$A$4:$BU$73,10,0)&lt;&gt;"",I$1,"")</f>
        <v xml:space="preserve">Buchweizen </v>
      </c>
      <c r="J45" t="str">
        <f>IF(VLOOKUP($A45,Tabelle1!$A$4:$BU$73,11,0)&lt;&gt;"",J$1,"")</f>
        <v/>
      </c>
      <c r="K45" t="str">
        <f>IF(VLOOKUP($A45,Tabelle1!$A$4:$BU$73,12,0)&lt;&gt;"",K$1,"")</f>
        <v/>
      </c>
      <c r="L45" t="str">
        <f>IF(VLOOKUP($A45,Tabelle1!$A$4:$BU$73,13,0)&lt;&gt;"",L$1,"")</f>
        <v/>
      </c>
      <c r="M45" t="str">
        <f>IF(VLOOKUP($A45,Tabelle1!$A$4:$BU$73,14,0)&lt;&gt;"",M$1,"")</f>
        <v/>
      </c>
      <c r="N45" t="str">
        <f>IF(VLOOKUP($A45,Tabelle1!$A$4:$BU$73,15,0)&lt;&gt;"",N$1,"")</f>
        <v/>
      </c>
      <c r="O45" t="str">
        <f>IF(VLOOKUP($A45,Tabelle1!$A$4:$BU$73,16,0)&lt;&gt;"",O$1,"")</f>
        <v/>
      </c>
      <c r="P45" t="str">
        <f>IF(VLOOKUP($A45,Tabelle1!$A$4:$BU$73,17,0)&lt;&gt;"",P$1,"")</f>
        <v/>
      </c>
      <c r="Q45" t="str">
        <f>IF(VLOOKUP($A45,Tabelle1!$A$4:$BU$73,18,0)&lt;&gt;"",Q$1,"")</f>
        <v/>
      </c>
      <c r="R45" t="str">
        <f>IF(VLOOKUP($A45,Tabelle1!$A$4:$BU$73,19,0)&lt;&gt;"",R$1,"")</f>
        <v/>
      </c>
      <c r="S45" t="str">
        <f>IF(VLOOKUP($A45,Tabelle1!$A$4:$BU$73,20,0)&lt;&gt;"",S$1,"")</f>
        <v/>
      </c>
      <c r="T45" t="str">
        <f>IF(VLOOKUP($A45,Tabelle1!$A$4:$BU$73,21,0)&lt;&gt;"",T$1,"")</f>
        <v/>
      </c>
      <c r="U45" t="str">
        <f>IF(VLOOKUP($A45,Tabelle1!$A$4:$BU$73,22,0)&lt;&gt;"",U$1,"")</f>
        <v/>
      </c>
      <c r="V45" t="str">
        <f>IF(VLOOKUP($A45,Tabelle1!$A$4:$BU$73,23,0)&lt;&gt;"",V$1,"")</f>
        <v>Kresse</v>
      </c>
      <c r="W45" t="str">
        <f>IF(VLOOKUP($A45,Tabelle1!$A$4:$BU$73,24,0)&lt;&gt;"",W$1,"")</f>
        <v/>
      </c>
      <c r="X45" t="str">
        <f>IF(VLOOKUP($A45,Tabelle1!$A$4:$BU$73,25,0)&lt;&gt;"",X$1,"")</f>
        <v/>
      </c>
      <c r="Y45" t="str">
        <f>IF(VLOOKUP($A45,Tabelle1!$A$4:$BU$73,26,0)&lt;&gt;"",Y$1,"")</f>
        <v/>
      </c>
      <c r="Z45" t="str">
        <f>IF(VLOOKUP($A45,Tabelle1!$A$4:$BU$73,27,0)&lt;&gt;"",Z$1,"")</f>
        <v/>
      </c>
      <c r="AA45" t="str">
        <f>IF(VLOOKUP($A45,Tabelle1!$A$4:$BU$73,28,0)&lt;&gt;"",AA$1,"")</f>
        <v/>
      </c>
      <c r="AB45" t="str">
        <f>IF(VLOOKUP($A45,Tabelle1!$A$4:$BU$73,29,0)&lt;&gt;"",AB$1,"")</f>
        <v/>
      </c>
      <c r="AC45" t="str">
        <f>IF(VLOOKUP($A45,Tabelle1!$A$4:$BU$73,30,0)&lt;&gt;"",AC$1,"")</f>
        <v>Schwarzsamen/Ramtilkraut/Gingellikraut/Mungo</v>
      </c>
      <c r="AD45" t="str">
        <f>IF(VLOOKUP($A45,Tabelle1!$A$4:$BU$73,31,0)&lt;&gt;"",AD$1,"")</f>
        <v/>
      </c>
      <c r="AE45" t="str">
        <f>IF(VLOOKUP($A45,Tabelle1!$A$4:$BU$73,32,0)&lt;&gt;"",AE$1,"")</f>
        <v/>
      </c>
      <c r="AF45" t="str">
        <f>IF(VLOOKUP($A45,Tabelle1!$A$4:$BU$73,33,0)&lt;&gt;"",AF$1,"")</f>
        <v/>
      </c>
      <c r="AG45" t="str">
        <f>IF(VLOOKUP($A45,Tabelle1!$A$4:$BU$73,34,0)&lt;&gt;"",AG$1,"")</f>
        <v/>
      </c>
      <c r="AH45" t="str">
        <f>IF(VLOOKUP($A45,Tabelle1!$A$4:$BU$73,35,0)&lt;&gt;"",AH$1,"")</f>
        <v>Phazelie</v>
      </c>
      <c r="AI45" t="str">
        <f>IF(VLOOKUP($A45,Tabelle1!$A$4:$BU$73,36,0)&lt;&gt;"",AI$1,"")</f>
        <v/>
      </c>
      <c r="AJ45" t="str">
        <f>IF(VLOOKUP($A45,Tabelle1!$A$4:$BU$73,37,0)&lt;&gt;"",AJ$1,"")</f>
        <v/>
      </c>
      <c r="AK45" t="str">
        <f>IF(VLOOKUP($A45,Tabelle1!$A$4:$BU$73,38,0)&lt;&gt;"",AK$1,"")</f>
        <v/>
      </c>
      <c r="AL45" t="str">
        <f>IF(VLOOKUP($A45,Tabelle1!$A$4:$BU$73,39,0)&lt;&gt;"",AL$1,"")</f>
        <v/>
      </c>
      <c r="AM45" t="str">
        <f>IF(VLOOKUP($A45,Tabelle1!$A$4:$BU$73,40,0)&lt;&gt;"",AM$1,"")</f>
        <v/>
      </c>
      <c r="AN45" t="str">
        <f>IF(VLOOKUP($A45,Tabelle1!$A$4:$BU$73,41,0)&lt;&gt;"",AN$1,"")</f>
        <v/>
      </c>
      <c r="AO45" t="str">
        <f>IF(VLOOKUP($A45,Tabelle1!$A$4:$BU$73,42,0)&lt;&gt;"",AO$1,"")</f>
        <v/>
      </c>
      <c r="AP45" t="str">
        <f>IF(VLOOKUP($A45,Tabelle1!$A$4:$BU$73,43,0)&lt;&gt;"",AP$1,"")</f>
        <v/>
      </c>
      <c r="AQ45" t="str">
        <f>IF(VLOOKUP($A45,Tabelle1!$A$4:$BU$73,44,0)&lt;&gt;"",AQ$1,"")</f>
        <v/>
      </c>
      <c r="AR45" t="str">
        <f>IF(VLOOKUP($A45,Tabelle1!$A$4:$BU$73,45,0)&lt;&gt;"",AR$1,"")</f>
        <v>Senf</v>
      </c>
      <c r="AS45" t="str">
        <f>IF(VLOOKUP($A45,Tabelle1!$A$4:$BU$73,46,0)&lt;&gt;"",AS$1,"")</f>
        <v/>
      </c>
      <c r="AT45" t="str">
        <f>IF(VLOOKUP($A45,Tabelle1!$A$4:$BU$73,47,0)&lt;&gt;"",AT$1,"")</f>
        <v/>
      </c>
      <c r="AU45" t="str">
        <f>IF(VLOOKUP($A45,Tabelle1!$A$4:$BU$73,48,0)&lt;&gt;"",AU$1,"")</f>
        <v/>
      </c>
      <c r="AV45" t="str">
        <f>IF(VLOOKUP($A45,Tabelle1!$A$4:$BU$73,49,0)&lt;&gt;"",AV$1,"")</f>
        <v/>
      </c>
      <c r="AW45" t="str">
        <f>IF(VLOOKUP($A45,Tabelle1!$A$4:$BU$73,50,0)&lt;&gt;"",AW$1,"")</f>
        <v/>
      </c>
      <c r="AX45" t="str">
        <f>IF(VLOOKUP($A45,Tabelle1!$A$4:$BU$73,51,0)&lt;&gt;"",AX$1,"")</f>
        <v/>
      </c>
      <c r="AY45" t="str">
        <f>IF(VLOOKUP($A45,Tabelle1!$A$4:$BU$73,52,0)&lt;&gt;"",AY$1,"")</f>
        <v/>
      </c>
      <c r="AZ45" t="str">
        <f>IF(VLOOKUP($A45,Tabelle1!$A$4:$BU$73,53,0)&lt;&gt;"",AZ$1,"")</f>
        <v/>
      </c>
      <c r="BA45" t="str">
        <f>IF(VLOOKUP($A45,Tabelle1!$A$4:$BU$73,54,0)&lt;&gt;"",BA$1,"")</f>
        <v/>
      </c>
      <c r="BB45" t="str">
        <f>IF(VLOOKUP($A45,Tabelle1!$A$4:$BU$73,55,0)&lt;&gt;"",BB$1,"")</f>
        <v/>
      </c>
      <c r="BC45" t="str">
        <f>IF(VLOOKUP($A45,Tabelle1!$A$4:$BU$73,56,0)&lt;&gt;"",BC$1,"")</f>
        <v/>
      </c>
      <c r="BD45" t="str">
        <f>IF(VLOOKUP($A45,Tabelle1!$A$4:$BU$73,57,0)&lt;&gt;"",BD$1,"")</f>
        <v/>
      </c>
      <c r="BE45" t="str">
        <f>IF(VLOOKUP($A45,Tabelle1!$A$4:$BU$73,58,0)&lt;&gt;"",BE$1,"")</f>
        <v/>
      </c>
      <c r="BF45" t="str">
        <f>IF(VLOOKUP($A45,Tabelle1!$A$4:$BU$73,59,0)&lt;&gt;"",BF$1,"")</f>
        <v/>
      </c>
      <c r="BG45" t="str">
        <f>IF(VLOOKUP($A45,Tabelle1!$A$4:$BU$73,60,0)&lt;&gt;"",BG$1,"")</f>
        <v/>
      </c>
      <c r="BH45" t="str">
        <f>IF(VLOOKUP($A45,Tabelle1!$A$4:$BU$73,61,0)&lt;&gt;"",BH$1,"")</f>
        <v/>
      </c>
      <c r="BI45" t="str">
        <f>IF(VLOOKUP($A45,Tabelle1!$A$4:$BU$73,62,0)&lt;&gt;"",BI$1,"")</f>
        <v/>
      </c>
      <c r="BJ45" t="str">
        <f>IF(VLOOKUP($A45,Tabelle1!$A$4:$BU$73,63,0)&lt;&gt;"",BJ$1,"")</f>
        <v/>
      </c>
      <c r="BK45" t="str">
        <f>IF(VLOOKUP($A45,Tabelle1!$A$4:$BU$73,64,0)&lt;&gt;"",BK$1,"")</f>
        <v/>
      </c>
      <c r="BL45" t="str">
        <f>IF(VLOOKUP($A45,Tabelle1!$A$4:$BU$73,65,0)&lt;&gt;"",BL$1,"")</f>
        <v/>
      </c>
      <c r="BM45" t="str">
        <f>IF(VLOOKUP($A45,Tabelle1!$A$4:$BU$73,66,0)&lt;&gt;"",BM$1,"")</f>
        <v/>
      </c>
      <c r="BN45" t="str">
        <f>IF(VLOOKUP($A45,Tabelle1!$A$4:$BU$73,67,0)&lt;&gt;"",BN$1,"")</f>
        <v/>
      </c>
      <c r="BO45" t="str">
        <f>IF(VLOOKUP($A45,Tabelle1!$A$4:$BU$73,68,0)&lt;&gt;"",BO$1,"")</f>
        <v/>
      </c>
      <c r="BP45" t="str">
        <f>IF(VLOOKUP($A45,Tabelle1!$A$4:$BU$73,69,0)&lt;&gt;"",BP$1,"")</f>
        <v/>
      </c>
      <c r="BQ45" t="str">
        <f>IF(VLOOKUP($A45,Tabelle1!$A$4:$BU$73,70,0)&lt;&gt;"",BQ$1,"")</f>
        <v/>
      </c>
      <c r="BR45" t="str">
        <f>IF(VLOOKUP($A45,Tabelle1!$A$4:$BU$73,71,0)&lt;&gt;"",BR$1,"")</f>
        <v/>
      </c>
      <c r="BS45" t="str">
        <f>IF(VLOOKUP($A45,Tabelle1!$A$4:$BU$73,72,0)&lt;&gt;"",BS$1,"")</f>
        <v/>
      </c>
      <c r="BT45" t="str">
        <f>IF(VLOOKUP($A45,Tabelle1!$A$4:$BU$73,73,0)&lt;&gt;"",BT$1,"")</f>
        <v/>
      </c>
    </row>
    <row r="46" spans="1:72" x14ac:dyDescent="0.2">
      <c r="A46" t="s">
        <v>725</v>
      </c>
      <c r="B46">
        <v>9</v>
      </c>
      <c r="C46">
        <v>4.5</v>
      </c>
      <c r="D46" t="str">
        <f>IF(VLOOKUP($A46,Tabelle1!$A$4:$BU$73,5,0)&lt;&gt;"",D$1,"")</f>
        <v/>
      </c>
      <c r="E46" t="str">
        <f>IF(VLOOKUP($A46,Tabelle1!$A$4:$BU$73,6,0)&lt;&gt;"",E$1,"")</f>
        <v/>
      </c>
      <c r="F46" t="str">
        <f>IF(VLOOKUP($A46,Tabelle1!$A$4:$BU$73,7,0)&lt;&gt;"",F$1,"")</f>
        <v>Alexandrinerklee</v>
      </c>
      <c r="G46" t="str">
        <f>IF(VLOOKUP($A46,Tabelle1!$A$4:$BU$73,8,0)&lt;&gt;"",G$1,"")</f>
        <v/>
      </c>
      <c r="H46" t="str">
        <f>IF(VLOOKUP($A46,Tabelle1!$A$4:$BU$73,9,0)&lt;&gt;"",H$1,"")</f>
        <v/>
      </c>
      <c r="I46" t="str">
        <f>IF(VLOOKUP($A46,Tabelle1!$A$4:$BU$73,10,0)&lt;&gt;"",I$1,"")</f>
        <v/>
      </c>
      <c r="J46" t="str">
        <f>IF(VLOOKUP($A46,Tabelle1!$A$4:$BU$73,11,0)&lt;&gt;"",J$1,"")</f>
        <v/>
      </c>
      <c r="K46" t="str">
        <f>IF(VLOOKUP($A46,Tabelle1!$A$4:$BU$73,12,0)&lt;&gt;"",K$1,"")</f>
        <v/>
      </c>
      <c r="L46" t="str">
        <f>IF(VLOOKUP($A46,Tabelle1!$A$4:$BU$73,13,0)&lt;&gt;"",L$1,"")</f>
        <v/>
      </c>
      <c r="M46" t="str">
        <f>IF(VLOOKUP($A46,Tabelle1!$A$4:$BU$73,14,0)&lt;&gt;"",M$1,"")</f>
        <v/>
      </c>
      <c r="N46" t="str">
        <f>IF(VLOOKUP($A46,Tabelle1!$A$4:$BU$73,15,0)&lt;&gt;"",N$1,"")</f>
        <v/>
      </c>
      <c r="O46" t="str">
        <f>IF(VLOOKUP($A46,Tabelle1!$A$4:$BU$73,16,0)&lt;&gt;"",O$1,"")</f>
        <v/>
      </c>
      <c r="P46" t="str">
        <f>IF(VLOOKUP($A46,Tabelle1!$A$4:$BU$73,17,0)&lt;&gt;"",P$1,"")</f>
        <v/>
      </c>
      <c r="Q46" t="str">
        <f>IF(VLOOKUP($A46,Tabelle1!$A$4:$BU$73,18,0)&lt;&gt;"",Q$1,"")</f>
        <v/>
      </c>
      <c r="R46" t="str">
        <f>IF(VLOOKUP($A46,Tabelle1!$A$4:$BU$73,19,0)&lt;&gt;"",R$1,"")</f>
        <v/>
      </c>
      <c r="S46" t="str">
        <f>IF(VLOOKUP($A46,Tabelle1!$A$4:$BU$73,20,0)&lt;&gt;"",S$1,"")</f>
        <v/>
      </c>
      <c r="T46" t="str">
        <f>IF(VLOOKUP($A46,Tabelle1!$A$4:$BU$73,21,0)&lt;&gt;"",T$1,"")</f>
        <v/>
      </c>
      <c r="U46" t="str">
        <f>IF(VLOOKUP($A46,Tabelle1!$A$4:$BU$73,22,0)&lt;&gt;"",U$1,"")</f>
        <v/>
      </c>
      <c r="V46" t="str">
        <f>IF(VLOOKUP($A46,Tabelle1!$A$4:$BU$73,23,0)&lt;&gt;"",V$1,"")</f>
        <v/>
      </c>
      <c r="W46" t="str">
        <f>IF(VLOOKUP($A46,Tabelle1!$A$4:$BU$73,24,0)&lt;&gt;"",W$1,"")</f>
        <v/>
      </c>
      <c r="X46" t="str">
        <f>IF(VLOOKUP($A46,Tabelle1!$A$4:$BU$73,25,0)&lt;&gt;"",X$1,"")</f>
        <v/>
      </c>
      <c r="Y46" t="str">
        <f>IF(VLOOKUP($A46,Tabelle1!$A$4:$BU$73,26,0)&lt;&gt;"",Y$1,"")</f>
        <v/>
      </c>
      <c r="Z46" t="str">
        <f>IF(VLOOKUP($A46,Tabelle1!$A$4:$BU$73,27,0)&lt;&gt;"",Z$1,"")</f>
        <v/>
      </c>
      <c r="AA46" t="str">
        <f>IF(VLOOKUP($A46,Tabelle1!$A$4:$BU$73,28,0)&lt;&gt;"",AA$1,"")</f>
        <v/>
      </c>
      <c r="AB46" t="str">
        <f>IF(VLOOKUP($A46,Tabelle1!$A$4:$BU$73,29,0)&lt;&gt;"",AB$1,"")</f>
        <v/>
      </c>
      <c r="AC46" t="str">
        <f>IF(VLOOKUP($A46,Tabelle1!$A$4:$BU$73,30,0)&lt;&gt;"",AC$1,"")</f>
        <v>Schwarzsamen/Ramtilkraut/Gingellikraut/Mungo</v>
      </c>
      <c r="AD46" t="str">
        <f>IF(VLOOKUP($A46,Tabelle1!$A$4:$BU$73,31,0)&lt;&gt;"",AD$1,"")</f>
        <v/>
      </c>
      <c r="AE46" t="str">
        <f>IF(VLOOKUP($A46,Tabelle1!$A$4:$BU$73,32,0)&lt;&gt;"",AE$1,"")</f>
        <v/>
      </c>
      <c r="AF46" t="str">
        <f>IF(VLOOKUP($A46,Tabelle1!$A$4:$BU$73,33,0)&lt;&gt;"",AF$1,"")</f>
        <v>Ölrettich nematodenhemmend</v>
      </c>
      <c r="AG46" t="str">
        <f>IF(VLOOKUP($A46,Tabelle1!$A$4:$BU$73,34,0)&lt;&gt;"",AG$1,"")</f>
        <v/>
      </c>
      <c r="AH46" t="str">
        <f>IF(VLOOKUP($A46,Tabelle1!$A$4:$BU$73,35,0)&lt;&gt;"",AH$1,"")</f>
        <v>Phazelie</v>
      </c>
      <c r="AI46" t="str">
        <f>IF(VLOOKUP($A46,Tabelle1!$A$4:$BU$73,36,0)&lt;&gt;"",AI$1,"")</f>
        <v/>
      </c>
      <c r="AJ46" t="str">
        <f>IF(VLOOKUP($A46,Tabelle1!$A$4:$BU$73,37,0)&lt;&gt;"",AJ$1,"")</f>
        <v/>
      </c>
      <c r="AK46" t="str">
        <f>IF(VLOOKUP($A46,Tabelle1!$A$4:$BU$73,38,0)&lt;&gt;"",AK$1,"")</f>
        <v/>
      </c>
      <c r="AL46" t="str">
        <f>IF(VLOOKUP($A46,Tabelle1!$A$4:$BU$73,39,0)&lt;&gt;"",AL$1,"")</f>
        <v/>
      </c>
      <c r="AM46" t="str">
        <f>IF(VLOOKUP($A46,Tabelle1!$A$4:$BU$73,40,0)&lt;&gt;"",AM$1,"")</f>
        <v/>
      </c>
      <c r="AN46" t="str">
        <f>IF(VLOOKUP($A46,Tabelle1!$A$4:$BU$73,41,0)&lt;&gt;"",AN$1,"")</f>
        <v/>
      </c>
      <c r="AO46" t="str">
        <f>IF(VLOOKUP($A46,Tabelle1!$A$4:$BU$73,42,0)&lt;&gt;"",AO$1,"")</f>
        <v/>
      </c>
      <c r="AP46" t="str">
        <f>IF(VLOOKUP($A46,Tabelle1!$A$4:$BU$73,43,0)&lt;&gt;"",AP$1,"")</f>
        <v/>
      </c>
      <c r="AQ46" t="str">
        <f>IF(VLOOKUP($A46,Tabelle1!$A$4:$BU$73,44,0)&lt;&gt;"",AQ$1,"")</f>
        <v/>
      </c>
      <c r="AR46" t="str">
        <f>IF(VLOOKUP($A46,Tabelle1!$A$4:$BU$73,45,0)&lt;&gt;"",AR$1,"")</f>
        <v/>
      </c>
      <c r="AS46" t="str">
        <f>IF(VLOOKUP($A46,Tabelle1!$A$4:$BU$73,46,0)&lt;&gt;"",AS$1,"")</f>
        <v>Senf nematodenhemmend / neamtodenresistent</v>
      </c>
      <c r="AT46" t="str">
        <f>IF(VLOOKUP($A46,Tabelle1!$A$4:$BU$73,47,0)&lt;&gt;"",AT$1,"")</f>
        <v/>
      </c>
      <c r="AU46" t="str">
        <f>IF(VLOOKUP($A46,Tabelle1!$A$4:$BU$73,48,0)&lt;&gt;"",AU$1,"")</f>
        <v/>
      </c>
      <c r="AV46" t="str">
        <f>IF(VLOOKUP($A46,Tabelle1!$A$4:$BU$73,49,0)&lt;&gt;"",AV$1,"")</f>
        <v/>
      </c>
      <c r="AW46" t="str">
        <f>IF(VLOOKUP($A46,Tabelle1!$A$4:$BU$73,50,0)&lt;&gt;"",AW$1,"")</f>
        <v/>
      </c>
      <c r="AX46" t="str">
        <f>IF(VLOOKUP($A46,Tabelle1!$A$4:$BU$73,51,0)&lt;&gt;"",AX$1,"")</f>
        <v/>
      </c>
      <c r="AY46" t="str">
        <f>IF(VLOOKUP($A46,Tabelle1!$A$4:$BU$73,52,0)&lt;&gt;"",AY$1,"")</f>
        <v/>
      </c>
      <c r="AZ46" t="str">
        <f>IF(VLOOKUP($A46,Tabelle1!$A$4:$BU$73,53,0)&lt;&gt;"",AZ$1,"")</f>
        <v/>
      </c>
      <c r="BA46" t="str">
        <f>IF(VLOOKUP($A46,Tabelle1!$A$4:$BU$73,54,0)&lt;&gt;"",BA$1,"")</f>
        <v/>
      </c>
      <c r="BB46" t="str">
        <f>IF(VLOOKUP($A46,Tabelle1!$A$4:$BU$73,55,0)&lt;&gt;"",BB$1,"")</f>
        <v/>
      </c>
      <c r="BC46" t="str">
        <f>IF(VLOOKUP($A46,Tabelle1!$A$4:$BU$73,56,0)&lt;&gt;"",BC$1,"")</f>
        <v/>
      </c>
      <c r="BD46" t="str">
        <f>IF(VLOOKUP($A46,Tabelle1!$A$4:$BU$73,57,0)&lt;&gt;"",BD$1,"")</f>
        <v/>
      </c>
      <c r="BE46" t="str">
        <f>IF(VLOOKUP($A46,Tabelle1!$A$4:$BU$73,58,0)&lt;&gt;"",BE$1,"")</f>
        <v/>
      </c>
      <c r="BF46" t="str">
        <f>IF(VLOOKUP($A46,Tabelle1!$A$4:$BU$73,59,0)&lt;&gt;"",BF$1,"")</f>
        <v/>
      </c>
      <c r="BG46" t="str">
        <f>IF(VLOOKUP($A46,Tabelle1!$A$4:$BU$73,60,0)&lt;&gt;"",BG$1,"")</f>
        <v/>
      </c>
      <c r="BH46" t="str">
        <f>IF(VLOOKUP($A46,Tabelle1!$A$4:$BU$73,61,0)&lt;&gt;"",BH$1,"")</f>
        <v/>
      </c>
      <c r="BI46" t="str">
        <f>IF(VLOOKUP($A46,Tabelle1!$A$4:$BU$73,62,0)&lt;&gt;"",BI$1,"")</f>
        <v/>
      </c>
      <c r="BJ46" t="str">
        <f>IF(VLOOKUP($A46,Tabelle1!$A$4:$BU$73,63,0)&lt;&gt;"",BJ$1,"")</f>
        <v/>
      </c>
      <c r="BK46" t="str">
        <f>IF(VLOOKUP($A46,Tabelle1!$A$4:$BU$73,64,0)&lt;&gt;"",BK$1,"")</f>
        <v/>
      </c>
      <c r="BL46" t="str">
        <f>IF(VLOOKUP($A46,Tabelle1!$A$4:$BU$73,65,0)&lt;&gt;"",BL$1,"")</f>
        <v/>
      </c>
      <c r="BM46" t="str">
        <f>IF(VLOOKUP($A46,Tabelle1!$A$4:$BU$73,66,0)&lt;&gt;"",BM$1,"")</f>
        <v/>
      </c>
      <c r="BN46" t="str">
        <f>IF(VLOOKUP($A46,Tabelle1!$A$4:$BU$73,67,0)&lt;&gt;"",BN$1,"")</f>
        <v/>
      </c>
      <c r="BO46" t="str">
        <f>IF(VLOOKUP($A46,Tabelle1!$A$4:$BU$73,68,0)&lt;&gt;"",BO$1,"")</f>
        <v/>
      </c>
      <c r="BP46" t="str">
        <f>IF(VLOOKUP($A46,Tabelle1!$A$4:$BU$73,69,0)&lt;&gt;"",BP$1,"")</f>
        <v/>
      </c>
      <c r="BQ46" t="str">
        <f>IF(VLOOKUP($A46,Tabelle1!$A$4:$BU$73,70,0)&lt;&gt;"",BQ$1,"")</f>
        <v/>
      </c>
      <c r="BR46" t="str">
        <f>IF(VLOOKUP($A46,Tabelle1!$A$4:$BU$73,71,0)&lt;&gt;"",BR$1,"")</f>
        <v/>
      </c>
      <c r="BS46" t="str">
        <f>IF(VLOOKUP($A46,Tabelle1!$A$4:$BU$73,72,0)&lt;&gt;"",BS$1,"")</f>
        <v/>
      </c>
      <c r="BT46" t="str">
        <f>IF(VLOOKUP($A46,Tabelle1!$A$4:$BU$73,73,0)&lt;&gt;"",BT$1,"")</f>
        <v/>
      </c>
    </row>
    <row r="47" spans="1:72" x14ac:dyDescent="0.2">
      <c r="A47" t="s">
        <v>726</v>
      </c>
      <c r="B47">
        <v>16</v>
      </c>
      <c r="C47">
        <v>3.37</v>
      </c>
      <c r="D47" t="str">
        <f>IF(VLOOKUP($A47,Tabelle1!$A$4:$BU$73,5,0)&lt;&gt;"",D$1,"")</f>
        <v/>
      </c>
      <c r="E47" t="str">
        <f>IF(VLOOKUP($A47,Tabelle1!$A$4:$BU$73,6,0)&lt;&gt;"",E$1,"")</f>
        <v/>
      </c>
      <c r="F47" t="str">
        <f>IF(VLOOKUP($A47,Tabelle1!$A$4:$BU$73,7,0)&lt;&gt;"",F$1,"")</f>
        <v/>
      </c>
      <c r="G47" t="str">
        <f>IF(VLOOKUP($A47,Tabelle1!$A$4:$BU$73,8,0)&lt;&gt;"",G$1,"")</f>
        <v/>
      </c>
      <c r="H47" t="str">
        <f>IF(VLOOKUP($A47,Tabelle1!$A$4:$BU$73,9,0)&lt;&gt;"",H$1,"")</f>
        <v/>
      </c>
      <c r="I47" t="str">
        <f>IF(VLOOKUP($A47,Tabelle1!$A$4:$BU$73,10,0)&lt;&gt;"",I$1,"")</f>
        <v xml:space="preserve">Buchweizen </v>
      </c>
      <c r="J47" t="str">
        <f>IF(VLOOKUP($A47,Tabelle1!$A$4:$BU$73,11,0)&lt;&gt;"",J$1,"")</f>
        <v/>
      </c>
      <c r="K47" t="str">
        <f>IF(VLOOKUP($A47,Tabelle1!$A$4:$BU$73,12,0)&lt;&gt;"",K$1,"")</f>
        <v/>
      </c>
      <c r="L47" t="str">
        <f>IF(VLOOKUP($A47,Tabelle1!$A$4:$BU$73,13,0)&lt;&gt;"",L$1,"")</f>
        <v/>
      </c>
      <c r="M47" t="str">
        <f>IF(VLOOKUP($A47,Tabelle1!$A$4:$BU$73,14,0)&lt;&gt;"",M$1,"")</f>
        <v/>
      </c>
      <c r="N47" t="str">
        <f>IF(VLOOKUP($A47,Tabelle1!$A$4:$BU$73,15,0)&lt;&gt;"",N$1,"")</f>
        <v/>
      </c>
      <c r="O47" t="str">
        <f>IF(VLOOKUP($A47,Tabelle1!$A$4:$BU$73,16,0)&lt;&gt;"",O$1,"")</f>
        <v/>
      </c>
      <c r="P47" t="str">
        <f>IF(VLOOKUP($A47,Tabelle1!$A$4:$BU$73,17,0)&lt;&gt;"",P$1,"")</f>
        <v/>
      </c>
      <c r="Q47" t="str">
        <f>IF(VLOOKUP($A47,Tabelle1!$A$4:$BU$73,18,0)&lt;&gt;"",Q$1,"")</f>
        <v/>
      </c>
      <c r="R47" t="str">
        <f>IF(VLOOKUP($A47,Tabelle1!$A$4:$BU$73,19,0)&lt;&gt;"",R$1,"")</f>
        <v/>
      </c>
      <c r="S47" t="str">
        <f>IF(VLOOKUP($A47,Tabelle1!$A$4:$BU$73,20,0)&lt;&gt;"",S$1,"")</f>
        <v/>
      </c>
      <c r="T47" t="str">
        <f>IF(VLOOKUP($A47,Tabelle1!$A$4:$BU$73,21,0)&lt;&gt;"",T$1,"")</f>
        <v/>
      </c>
      <c r="U47" t="str">
        <f>IF(VLOOKUP($A47,Tabelle1!$A$4:$BU$73,22,0)&lt;&gt;"",U$1,"")</f>
        <v/>
      </c>
      <c r="V47" t="str">
        <f>IF(VLOOKUP($A47,Tabelle1!$A$4:$BU$73,23,0)&lt;&gt;"",V$1,"")</f>
        <v>Kresse</v>
      </c>
      <c r="W47" t="str">
        <f>IF(VLOOKUP($A47,Tabelle1!$A$4:$BU$73,24,0)&lt;&gt;"",W$1,"")</f>
        <v/>
      </c>
      <c r="X47" t="str">
        <f>IF(VLOOKUP($A47,Tabelle1!$A$4:$BU$73,25,0)&lt;&gt;"",X$1,"")</f>
        <v/>
      </c>
      <c r="Y47" t="str">
        <f>IF(VLOOKUP($A47,Tabelle1!$A$4:$BU$73,26,0)&lt;&gt;"",Y$1,"")</f>
        <v>Leindotter</v>
      </c>
      <c r="Z47" t="str">
        <f>IF(VLOOKUP($A47,Tabelle1!$A$4:$BU$73,27,0)&lt;&gt;"",Z$1,"")</f>
        <v/>
      </c>
      <c r="AA47" t="str">
        <f>IF(VLOOKUP($A47,Tabelle1!$A$4:$BU$73,28,0)&lt;&gt;"",AA$1,"")</f>
        <v/>
      </c>
      <c r="AB47" t="str">
        <f>IF(VLOOKUP($A47,Tabelle1!$A$4:$BU$73,29,0)&lt;&gt;"",AB$1,"")</f>
        <v/>
      </c>
      <c r="AC47" t="str">
        <f>IF(VLOOKUP($A47,Tabelle1!$A$4:$BU$73,30,0)&lt;&gt;"",AC$1,"")</f>
        <v/>
      </c>
      <c r="AD47" t="str">
        <f>IF(VLOOKUP($A47,Tabelle1!$A$4:$BU$73,31,0)&lt;&gt;"",AD$1,"")</f>
        <v/>
      </c>
      <c r="AE47" t="str">
        <f>IF(VLOOKUP($A47,Tabelle1!$A$4:$BU$73,32,0)&lt;&gt;"",AE$1,"")</f>
        <v>Ölrettich</v>
      </c>
      <c r="AF47" t="str">
        <f>IF(VLOOKUP($A47,Tabelle1!$A$4:$BU$73,33,0)&lt;&gt;"",AF$1,"")</f>
        <v/>
      </c>
      <c r="AG47" t="str">
        <f>IF(VLOOKUP($A47,Tabelle1!$A$4:$BU$73,34,0)&lt;&gt;"",AG$1,"")</f>
        <v/>
      </c>
      <c r="AH47" t="str">
        <f>IF(VLOOKUP($A47,Tabelle1!$A$4:$BU$73,35,0)&lt;&gt;"",AH$1,"")</f>
        <v>Phazelie</v>
      </c>
      <c r="AI47" t="str">
        <f>IF(VLOOKUP($A47,Tabelle1!$A$4:$BU$73,36,0)&lt;&gt;"",AI$1,"")</f>
        <v/>
      </c>
      <c r="AJ47" t="str">
        <f>IF(VLOOKUP($A47,Tabelle1!$A$4:$BU$73,37,0)&lt;&gt;"",AJ$1,"")</f>
        <v/>
      </c>
      <c r="AK47" t="str">
        <f>IF(VLOOKUP($A47,Tabelle1!$A$4:$BU$73,38,0)&lt;&gt;"",AK$1,"")</f>
        <v/>
      </c>
      <c r="AL47" t="str">
        <f>IF(VLOOKUP($A47,Tabelle1!$A$4:$BU$73,39,0)&lt;&gt;"",AL$1,"")</f>
        <v/>
      </c>
      <c r="AM47" t="str">
        <f>IF(VLOOKUP($A47,Tabelle1!$A$4:$BU$73,40,0)&lt;&gt;"",AM$1,"")</f>
        <v/>
      </c>
      <c r="AN47" t="str">
        <f>IF(VLOOKUP($A47,Tabelle1!$A$4:$BU$73,41,0)&lt;&gt;"",AN$1,"")</f>
        <v/>
      </c>
      <c r="AO47" t="str">
        <f>IF(VLOOKUP($A47,Tabelle1!$A$4:$BU$73,42,0)&lt;&gt;"",AO$1,"")</f>
        <v/>
      </c>
      <c r="AP47" t="str">
        <f>IF(VLOOKUP($A47,Tabelle1!$A$4:$BU$73,43,0)&lt;&gt;"",AP$1,"")</f>
        <v/>
      </c>
      <c r="AQ47" t="str">
        <f>IF(VLOOKUP($A47,Tabelle1!$A$4:$BU$73,44,0)&lt;&gt;"",AQ$1,"")</f>
        <v/>
      </c>
      <c r="AR47" t="str">
        <f>IF(VLOOKUP($A47,Tabelle1!$A$4:$BU$73,45,0)&lt;&gt;"",AR$1,"")</f>
        <v/>
      </c>
      <c r="AS47" t="str">
        <f>IF(VLOOKUP($A47,Tabelle1!$A$4:$BU$73,46,0)&lt;&gt;"",AS$1,"")</f>
        <v/>
      </c>
      <c r="AT47" t="str">
        <f>IF(VLOOKUP($A47,Tabelle1!$A$4:$BU$73,47,0)&lt;&gt;"",AT$1,"")</f>
        <v/>
      </c>
      <c r="AU47" t="str">
        <f>IF(VLOOKUP($A47,Tabelle1!$A$4:$BU$73,48,0)&lt;&gt;"",AU$1,"")</f>
        <v/>
      </c>
      <c r="AV47" t="str">
        <f>IF(VLOOKUP($A47,Tabelle1!$A$4:$BU$73,49,0)&lt;&gt;"",AV$1,"")</f>
        <v/>
      </c>
      <c r="AW47" t="str">
        <f>IF(VLOOKUP($A47,Tabelle1!$A$4:$BU$73,50,0)&lt;&gt;"",AW$1,"")</f>
        <v/>
      </c>
      <c r="AX47" t="str">
        <f>IF(VLOOKUP($A47,Tabelle1!$A$4:$BU$73,51,0)&lt;&gt;"",AX$1,"")</f>
        <v/>
      </c>
      <c r="AY47" t="str">
        <f>IF(VLOOKUP($A47,Tabelle1!$A$4:$BU$73,52,0)&lt;&gt;"",AY$1,"")</f>
        <v/>
      </c>
      <c r="AZ47" t="str">
        <f>IF(VLOOKUP($A47,Tabelle1!$A$4:$BU$73,53,0)&lt;&gt;"",AZ$1,"")</f>
        <v/>
      </c>
      <c r="BA47" t="str">
        <f>IF(VLOOKUP($A47,Tabelle1!$A$4:$BU$73,54,0)&lt;&gt;"",BA$1,"")</f>
        <v/>
      </c>
      <c r="BB47" t="str">
        <f>IF(VLOOKUP($A47,Tabelle1!$A$4:$BU$73,55,0)&lt;&gt;"",BB$1,"")</f>
        <v/>
      </c>
      <c r="BC47" t="str">
        <f>IF(VLOOKUP($A47,Tabelle1!$A$4:$BU$73,56,0)&lt;&gt;"",BC$1,"")</f>
        <v/>
      </c>
      <c r="BD47" t="str">
        <f>IF(VLOOKUP($A47,Tabelle1!$A$4:$BU$73,57,0)&lt;&gt;"",BD$1,"")</f>
        <v/>
      </c>
      <c r="BE47" t="str">
        <f>IF(VLOOKUP($A47,Tabelle1!$A$4:$BU$73,58,0)&lt;&gt;"",BE$1,"")</f>
        <v/>
      </c>
      <c r="BF47" t="str">
        <f>IF(VLOOKUP($A47,Tabelle1!$A$4:$BU$73,59,0)&lt;&gt;"",BF$1,"")</f>
        <v/>
      </c>
      <c r="BG47" t="str">
        <f>IF(VLOOKUP($A47,Tabelle1!$A$4:$BU$73,60,0)&lt;&gt;"",BG$1,"")</f>
        <v/>
      </c>
      <c r="BH47" t="str">
        <f>IF(VLOOKUP($A47,Tabelle1!$A$4:$BU$73,61,0)&lt;&gt;"",BH$1,"")</f>
        <v/>
      </c>
      <c r="BI47" t="str">
        <f>IF(VLOOKUP($A47,Tabelle1!$A$4:$BU$73,62,0)&lt;&gt;"",BI$1,"")</f>
        <v/>
      </c>
      <c r="BJ47" t="str">
        <f>IF(VLOOKUP($A47,Tabelle1!$A$4:$BU$73,63,0)&lt;&gt;"",BJ$1,"")</f>
        <v/>
      </c>
      <c r="BK47" t="str">
        <f>IF(VLOOKUP($A47,Tabelle1!$A$4:$BU$73,64,0)&lt;&gt;"",BK$1,"")</f>
        <v/>
      </c>
      <c r="BL47" t="str">
        <f>IF(VLOOKUP($A47,Tabelle1!$A$4:$BU$73,65,0)&lt;&gt;"",BL$1,"")</f>
        <v/>
      </c>
      <c r="BM47" t="str">
        <f>IF(VLOOKUP($A47,Tabelle1!$A$4:$BU$73,66,0)&lt;&gt;"",BM$1,"")</f>
        <v/>
      </c>
      <c r="BN47" t="str">
        <f>IF(VLOOKUP($A47,Tabelle1!$A$4:$BU$73,67,0)&lt;&gt;"",BN$1,"")</f>
        <v/>
      </c>
      <c r="BO47" t="str">
        <f>IF(VLOOKUP($A47,Tabelle1!$A$4:$BU$73,68,0)&lt;&gt;"",BO$1,"")</f>
        <v/>
      </c>
      <c r="BP47" t="str">
        <f>IF(VLOOKUP($A47,Tabelle1!$A$4:$BU$73,69,0)&lt;&gt;"",BP$1,"")</f>
        <v/>
      </c>
      <c r="BQ47" t="str">
        <f>IF(VLOOKUP($A47,Tabelle1!$A$4:$BU$73,70,0)&lt;&gt;"",BQ$1,"")</f>
        <v/>
      </c>
      <c r="BR47" t="str">
        <f>IF(VLOOKUP($A47,Tabelle1!$A$4:$BU$73,71,0)&lt;&gt;"",BR$1,"")</f>
        <v/>
      </c>
      <c r="BS47" t="str">
        <f>IF(VLOOKUP($A47,Tabelle1!$A$4:$BU$73,72,0)&lt;&gt;"",BS$1,"")</f>
        <v/>
      </c>
      <c r="BT47" t="str">
        <f>IF(VLOOKUP($A47,Tabelle1!$A$4:$BU$73,73,0)&lt;&gt;"",BT$1,"")</f>
        <v/>
      </c>
    </row>
    <row r="48" spans="1:72" x14ac:dyDescent="0.2">
      <c r="A48" t="s">
        <v>727</v>
      </c>
      <c r="B48">
        <v>13</v>
      </c>
      <c r="C48">
        <v>4.3499999999999996</v>
      </c>
      <c r="D48" t="str">
        <f>IF(VLOOKUP($A48,Tabelle1!$A$4:$BU$73,5,0)&lt;&gt;"",D$1,"")</f>
        <v/>
      </c>
      <c r="E48" t="str">
        <f>IF(VLOOKUP($A48,Tabelle1!$A$4:$BU$73,6,0)&lt;&gt;"",E$1,"")</f>
        <v/>
      </c>
      <c r="F48" t="str">
        <f>IF(VLOOKUP($A48,Tabelle1!$A$4:$BU$73,7,0)&lt;&gt;"",F$1,"")</f>
        <v>Alexandrinerklee</v>
      </c>
      <c r="G48" t="str">
        <f>IF(VLOOKUP($A48,Tabelle1!$A$4:$BU$73,8,0)&lt;&gt;"",G$1,"")</f>
        <v/>
      </c>
      <c r="H48" t="str">
        <f>IF(VLOOKUP($A48,Tabelle1!$A$4:$BU$73,9,0)&lt;&gt;"",H$1,"")</f>
        <v/>
      </c>
      <c r="I48" t="str">
        <f>IF(VLOOKUP($A48,Tabelle1!$A$4:$BU$73,10,0)&lt;&gt;"",I$1,"")</f>
        <v/>
      </c>
      <c r="J48" t="str">
        <f>IF(VLOOKUP($A48,Tabelle1!$A$4:$BU$73,11,0)&lt;&gt;"",J$1,"")</f>
        <v/>
      </c>
      <c r="K48" t="str">
        <f>IF(VLOOKUP($A48,Tabelle1!$A$4:$BU$73,12,0)&lt;&gt;"",K$1,"")</f>
        <v/>
      </c>
      <c r="L48" t="str">
        <f>IF(VLOOKUP($A48,Tabelle1!$A$4:$BU$73,13,0)&lt;&gt;"",L$1,"")</f>
        <v/>
      </c>
      <c r="M48" t="str">
        <f>IF(VLOOKUP($A48,Tabelle1!$A$4:$BU$73,14,0)&lt;&gt;"",M$1,"")</f>
        <v/>
      </c>
      <c r="N48" t="str">
        <f>IF(VLOOKUP($A48,Tabelle1!$A$4:$BU$73,15,0)&lt;&gt;"",N$1,"")</f>
        <v/>
      </c>
      <c r="O48" t="str">
        <f>IF(VLOOKUP($A48,Tabelle1!$A$4:$BU$73,16,0)&lt;&gt;"",O$1,"")</f>
        <v/>
      </c>
      <c r="P48" t="str">
        <f>IF(VLOOKUP($A48,Tabelle1!$A$4:$BU$73,17,0)&lt;&gt;"",P$1,"")</f>
        <v/>
      </c>
      <c r="Q48" t="str">
        <f>IF(VLOOKUP($A48,Tabelle1!$A$4:$BU$73,18,0)&lt;&gt;"",Q$1,"")</f>
        <v/>
      </c>
      <c r="R48" t="str">
        <f>IF(VLOOKUP($A48,Tabelle1!$A$4:$BU$73,19,0)&lt;&gt;"",R$1,"")</f>
        <v/>
      </c>
      <c r="S48" t="str">
        <f>IF(VLOOKUP($A48,Tabelle1!$A$4:$BU$73,20,0)&lt;&gt;"",S$1,"")</f>
        <v/>
      </c>
      <c r="T48" t="str">
        <f>IF(VLOOKUP($A48,Tabelle1!$A$4:$BU$73,21,0)&lt;&gt;"",T$1,"")</f>
        <v>Inkarnatklee</v>
      </c>
      <c r="U48" t="str">
        <f>IF(VLOOKUP($A48,Tabelle1!$A$4:$BU$73,22,0)&lt;&gt;"",U$1,"")</f>
        <v/>
      </c>
      <c r="V48" t="str">
        <f>IF(VLOOKUP($A48,Tabelle1!$A$4:$BU$73,23,0)&lt;&gt;"",V$1,"")</f>
        <v/>
      </c>
      <c r="W48" t="str">
        <f>IF(VLOOKUP($A48,Tabelle1!$A$4:$BU$73,24,0)&lt;&gt;"",W$1,"")</f>
        <v/>
      </c>
      <c r="X48" t="str">
        <f>IF(VLOOKUP($A48,Tabelle1!$A$4:$BU$73,25,0)&lt;&gt;"",X$1,"")</f>
        <v/>
      </c>
      <c r="Y48" t="str">
        <f>IF(VLOOKUP($A48,Tabelle1!$A$4:$BU$73,26,0)&lt;&gt;"",Y$1,"")</f>
        <v/>
      </c>
      <c r="Z48" t="str">
        <f>IF(VLOOKUP($A48,Tabelle1!$A$4:$BU$73,27,0)&lt;&gt;"",Z$1,"")</f>
        <v/>
      </c>
      <c r="AA48" t="str">
        <f>IF(VLOOKUP($A48,Tabelle1!$A$4:$BU$73,28,0)&lt;&gt;"",AA$1,"")</f>
        <v/>
      </c>
      <c r="AB48" t="str">
        <f>IF(VLOOKUP($A48,Tabelle1!$A$4:$BU$73,29,0)&lt;&gt;"",AB$1,"")</f>
        <v/>
      </c>
      <c r="AC48" t="str">
        <f>IF(VLOOKUP($A48,Tabelle1!$A$4:$BU$73,30,0)&lt;&gt;"",AC$1,"")</f>
        <v>Schwarzsamen/Ramtilkraut/Gingellikraut/Mungo</v>
      </c>
      <c r="AD48" t="str">
        <f>IF(VLOOKUP($A48,Tabelle1!$A$4:$BU$73,31,0)&lt;&gt;"",AD$1,"")</f>
        <v/>
      </c>
      <c r="AE48" t="str">
        <f>IF(VLOOKUP($A48,Tabelle1!$A$4:$BU$73,32,0)&lt;&gt;"",AE$1,"")</f>
        <v>Ölrettich</v>
      </c>
      <c r="AF48" t="str">
        <f>IF(VLOOKUP($A48,Tabelle1!$A$4:$BU$73,33,0)&lt;&gt;"",AF$1,"")</f>
        <v/>
      </c>
      <c r="AG48" t="str">
        <f>IF(VLOOKUP($A48,Tabelle1!$A$4:$BU$73,34,0)&lt;&gt;"",AG$1,"")</f>
        <v/>
      </c>
      <c r="AH48" t="str">
        <f>IF(VLOOKUP($A48,Tabelle1!$A$4:$BU$73,35,0)&lt;&gt;"",AH$1,"")</f>
        <v>Phazelie</v>
      </c>
      <c r="AI48" t="str">
        <f>IF(VLOOKUP($A48,Tabelle1!$A$4:$BU$73,36,0)&lt;&gt;"",AI$1,"")</f>
        <v/>
      </c>
      <c r="AJ48" t="str">
        <f>IF(VLOOKUP($A48,Tabelle1!$A$4:$BU$73,37,0)&lt;&gt;"",AJ$1,"")</f>
        <v/>
      </c>
      <c r="AK48" t="str">
        <f>IF(VLOOKUP($A48,Tabelle1!$A$4:$BU$73,38,0)&lt;&gt;"",AK$1,"")</f>
        <v/>
      </c>
      <c r="AL48" t="str">
        <f>IF(VLOOKUP($A48,Tabelle1!$A$4:$BU$73,39,0)&lt;&gt;"",AL$1,"")</f>
        <v/>
      </c>
      <c r="AM48" t="str">
        <f>IF(VLOOKUP($A48,Tabelle1!$A$4:$BU$73,40,0)&lt;&gt;"",AM$1,"")</f>
        <v/>
      </c>
      <c r="AN48" t="str">
        <f>IF(VLOOKUP($A48,Tabelle1!$A$4:$BU$73,41,0)&lt;&gt;"",AN$1,"")</f>
        <v/>
      </c>
      <c r="AO48" t="str">
        <f>IF(VLOOKUP($A48,Tabelle1!$A$4:$BU$73,42,0)&lt;&gt;"",AO$1,"")</f>
        <v/>
      </c>
      <c r="AP48" t="str">
        <f>IF(VLOOKUP($A48,Tabelle1!$A$4:$BU$73,43,0)&lt;&gt;"",AP$1,"")</f>
        <v/>
      </c>
      <c r="AQ48" t="str">
        <f>IF(VLOOKUP($A48,Tabelle1!$A$4:$BU$73,44,0)&lt;&gt;"",AQ$1,"")</f>
        <v/>
      </c>
      <c r="AR48" t="str">
        <f>IF(VLOOKUP($A48,Tabelle1!$A$4:$BU$73,45,0)&lt;&gt;"",AR$1,"")</f>
        <v/>
      </c>
      <c r="AS48" t="str">
        <f>IF(VLOOKUP($A48,Tabelle1!$A$4:$BU$73,46,0)&lt;&gt;"",AS$1,"")</f>
        <v/>
      </c>
      <c r="AT48" t="str">
        <f>IF(VLOOKUP($A48,Tabelle1!$A$4:$BU$73,47,0)&lt;&gt;"",AT$1,"")</f>
        <v/>
      </c>
      <c r="AU48" t="str">
        <f>IF(VLOOKUP($A48,Tabelle1!$A$4:$BU$73,48,0)&lt;&gt;"",AU$1,"")</f>
        <v/>
      </c>
      <c r="AV48" t="str">
        <f>IF(VLOOKUP($A48,Tabelle1!$A$4:$BU$73,49,0)&lt;&gt;"",AV$1,"")</f>
        <v/>
      </c>
      <c r="AW48" t="str">
        <f>IF(VLOOKUP($A48,Tabelle1!$A$4:$BU$73,50,0)&lt;&gt;"",AW$1,"")</f>
        <v/>
      </c>
      <c r="AX48" t="str">
        <f>IF(VLOOKUP($A48,Tabelle1!$A$4:$BU$73,51,0)&lt;&gt;"",AX$1,"")</f>
        <v/>
      </c>
      <c r="AY48" t="str">
        <f>IF(VLOOKUP($A48,Tabelle1!$A$4:$BU$73,52,0)&lt;&gt;"",AY$1,"")</f>
        <v/>
      </c>
      <c r="AZ48" t="str">
        <f>IF(VLOOKUP($A48,Tabelle1!$A$4:$BU$73,53,0)&lt;&gt;"",AZ$1,"")</f>
        <v/>
      </c>
      <c r="BA48" t="str">
        <f>IF(VLOOKUP($A48,Tabelle1!$A$4:$BU$73,54,0)&lt;&gt;"",BA$1,"")</f>
        <v/>
      </c>
      <c r="BB48" t="str">
        <f>IF(VLOOKUP($A48,Tabelle1!$A$4:$BU$73,55,0)&lt;&gt;"",BB$1,"")</f>
        <v/>
      </c>
      <c r="BC48" t="str">
        <f>IF(VLOOKUP($A48,Tabelle1!$A$4:$BU$73,56,0)&lt;&gt;"",BC$1,"")</f>
        <v/>
      </c>
      <c r="BD48" t="str">
        <f>IF(VLOOKUP($A48,Tabelle1!$A$4:$BU$73,57,0)&lt;&gt;"",BD$1,"")</f>
        <v/>
      </c>
      <c r="BE48" t="str">
        <f>IF(VLOOKUP($A48,Tabelle1!$A$4:$BU$73,58,0)&lt;&gt;"",BE$1,"")</f>
        <v/>
      </c>
      <c r="BF48" t="str">
        <f>IF(VLOOKUP($A48,Tabelle1!$A$4:$BU$73,59,0)&lt;&gt;"",BF$1,"")</f>
        <v/>
      </c>
      <c r="BG48" t="str">
        <f>IF(VLOOKUP($A48,Tabelle1!$A$4:$BU$73,60,0)&lt;&gt;"",BG$1,"")</f>
        <v/>
      </c>
      <c r="BH48" t="str">
        <f>IF(VLOOKUP($A48,Tabelle1!$A$4:$BU$73,61,0)&lt;&gt;"",BH$1,"")</f>
        <v/>
      </c>
      <c r="BI48" t="str">
        <f>IF(VLOOKUP($A48,Tabelle1!$A$4:$BU$73,62,0)&lt;&gt;"",BI$1,"")</f>
        <v/>
      </c>
      <c r="BJ48" t="str">
        <f>IF(VLOOKUP($A48,Tabelle1!$A$4:$BU$73,63,0)&lt;&gt;"",BJ$1,"")</f>
        <v/>
      </c>
      <c r="BK48" t="str">
        <f>IF(VLOOKUP($A48,Tabelle1!$A$4:$BU$73,64,0)&lt;&gt;"",BK$1,"")</f>
        <v/>
      </c>
      <c r="BL48" t="str">
        <f>IF(VLOOKUP($A48,Tabelle1!$A$4:$BU$73,65,0)&lt;&gt;"",BL$1,"")</f>
        <v/>
      </c>
      <c r="BM48" t="str">
        <f>IF(VLOOKUP($A48,Tabelle1!$A$4:$BU$73,66,0)&lt;&gt;"",BM$1,"")</f>
        <v/>
      </c>
      <c r="BN48" t="str">
        <f>IF(VLOOKUP($A48,Tabelle1!$A$4:$BU$73,67,0)&lt;&gt;"",BN$1,"")</f>
        <v/>
      </c>
      <c r="BO48" t="str">
        <f>IF(VLOOKUP($A48,Tabelle1!$A$4:$BU$73,68,0)&lt;&gt;"",BO$1,"")</f>
        <v/>
      </c>
      <c r="BP48" t="str">
        <f>IF(VLOOKUP($A48,Tabelle1!$A$4:$BU$73,69,0)&lt;&gt;"",BP$1,"")</f>
        <v/>
      </c>
      <c r="BQ48" t="str">
        <f>IF(VLOOKUP($A48,Tabelle1!$A$4:$BU$73,70,0)&lt;&gt;"",BQ$1,"")</f>
        <v/>
      </c>
      <c r="BR48" t="str">
        <f>IF(VLOOKUP($A48,Tabelle1!$A$4:$BU$73,71,0)&lt;&gt;"",BR$1,"")</f>
        <v/>
      </c>
      <c r="BS48" t="str">
        <f>IF(VLOOKUP($A48,Tabelle1!$A$4:$BU$73,72,0)&lt;&gt;"",BS$1,"")</f>
        <v/>
      </c>
      <c r="BT48" t="str">
        <f>IF(VLOOKUP($A48,Tabelle1!$A$4:$BU$73,73,0)&lt;&gt;"",BT$1,"")</f>
        <v/>
      </c>
    </row>
    <row r="49" spans="1:72" x14ac:dyDescent="0.2">
      <c r="A49" t="s">
        <v>424</v>
      </c>
      <c r="B49">
        <v>13</v>
      </c>
      <c r="C49">
        <v>3.5</v>
      </c>
      <c r="D49" t="str">
        <f>IF(VLOOKUP($A49,Tabelle1!$A$4:$BU$73,5,0)&lt;&gt;"",D$1,"")</f>
        <v/>
      </c>
      <c r="E49" t="str">
        <f>IF(VLOOKUP($A49,Tabelle1!$A$4:$BU$73,6,0)&lt;&gt;"",E$1,"")</f>
        <v/>
      </c>
      <c r="F49" t="str">
        <f>IF(VLOOKUP($A49,Tabelle1!$A$4:$BU$73,7,0)&lt;&gt;"",F$1,"")</f>
        <v/>
      </c>
      <c r="G49" t="str">
        <f>IF(VLOOKUP($A49,Tabelle1!$A$4:$BU$73,8,0)&lt;&gt;"",G$1,"")</f>
        <v/>
      </c>
      <c r="H49" t="str">
        <f>IF(VLOOKUP($A49,Tabelle1!$A$4:$BU$73,9,0)&lt;&gt;"",H$1,"")</f>
        <v/>
      </c>
      <c r="I49" t="str">
        <f>IF(VLOOKUP($A49,Tabelle1!$A$4:$BU$73,10,0)&lt;&gt;"",I$1,"")</f>
        <v xml:space="preserve">Buchweizen </v>
      </c>
      <c r="J49" t="str">
        <f>IF(VLOOKUP($A49,Tabelle1!$A$4:$BU$73,11,0)&lt;&gt;"",J$1,"")</f>
        <v/>
      </c>
      <c r="K49" t="str">
        <f>IF(VLOOKUP($A49,Tabelle1!$A$4:$BU$73,12,0)&lt;&gt;"",K$1,"")</f>
        <v/>
      </c>
      <c r="L49" t="str">
        <f>IF(VLOOKUP($A49,Tabelle1!$A$4:$BU$73,13,0)&lt;&gt;"",L$1,"")</f>
        <v/>
      </c>
      <c r="M49" t="str">
        <f>IF(VLOOKUP($A49,Tabelle1!$A$4:$BU$73,14,0)&lt;&gt;"",M$1,"")</f>
        <v/>
      </c>
      <c r="N49" t="str">
        <f>IF(VLOOKUP($A49,Tabelle1!$A$4:$BU$73,15,0)&lt;&gt;"",N$1,"")</f>
        <v/>
      </c>
      <c r="O49" t="str">
        <f>IF(VLOOKUP($A49,Tabelle1!$A$4:$BU$73,16,0)&lt;&gt;"",O$1,"")</f>
        <v/>
      </c>
      <c r="P49" t="str">
        <f>IF(VLOOKUP($A49,Tabelle1!$A$4:$BU$73,17,0)&lt;&gt;"",P$1,"")</f>
        <v/>
      </c>
      <c r="Q49" t="str">
        <f>IF(VLOOKUP($A49,Tabelle1!$A$4:$BU$73,18,0)&lt;&gt;"",Q$1,"")</f>
        <v/>
      </c>
      <c r="R49" t="str">
        <f>IF(VLOOKUP($A49,Tabelle1!$A$4:$BU$73,19,0)&lt;&gt;"",R$1,"")</f>
        <v/>
      </c>
      <c r="S49" t="str">
        <f>IF(VLOOKUP($A49,Tabelle1!$A$4:$BU$73,20,0)&lt;&gt;"",S$1,"")</f>
        <v/>
      </c>
      <c r="T49" t="str">
        <f>IF(VLOOKUP($A49,Tabelle1!$A$4:$BU$73,21,0)&lt;&gt;"",T$1,"")</f>
        <v/>
      </c>
      <c r="U49" t="str">
        <f>IF(VLOOKUP($A49,Tabelle1!$A$4:$BU$73,22,0)&lt;&gt;"",U$1,"")</f>
        <v/>
      </c>
      <c r="V49" t="str">
        <f>IF(VLOOKUP($A49,Tabelle1!$A$4:$BU$73,23,0)&lt;&gt;"",V$1,"")</f>
        <v>Kresse</v>
      </c>
      <c r="W49" t="str">
        <f>IF(VLOOKUP($A49,Tabelle1!$A$4:$BU$73,24,0)&lt;&gt;"",W$1,"")</f>
        <v/>
      </c>
      <c r="X49" t="str">
        <f>IF(VLOOKUP($A49,Tabelle1!$A$4:$BU$73,25,0)&lt;&gt;"",X$1,"")</f>
        <v/>
      </c>
      <c r="Y49" t="str">
        <f>IF(VLOOKUP($A49,Tabelle1!$A$4:$BU$73,26,0)&lt;&gt;"",Y$1,"")</f>
        <v/>
      </c>
      <c r="Z49" t="str">
        <f>IF(VLOOKUP($A49,Tabelle1!$A$4:$BU$73,27,0)&lt;&gt;"",Z$1,"")</f>
        <v/>
      </c>
      <c r="AA49" t="str">
        <f>IF(VLOOKUP($A49,Tabelle1!$A$4:$BU$73,28,0)&lt;&gt;"",AA$1,"")</f>
        <v/>
      </c>
      <c r="AB49" t="str">
        <f>IF(VLOOKUP($A49,Tabelle1!$A$4:$BU$73,29,0)&lt;&gt;"",AB$1,"")</f>
        <v>Meliorationsrettich</v>
      </c>
      <c r="AC49" t="str">
        <f>IF(VLOOKUP($A49,Tabelle1!$A$4:$BU$73,30,0)&lt;&gt;"",AC$1,"")</f>
        <v>Schwarzsamen/Ramtilkraut/Gingellikraut/Mungo</v>
      </c>
      <c r="AD49" t="str">
        <f>IF(VLOOKUP($A49,Tabelle1!$A$4:$BU$73,31,0)&lt;&gt;"",AD$1,"")</f>
        <v/>
      </c>
      <c r="AE49" t="str">
        <f>IF(VLOOKUP($A49,Tabelle1!$A$4:$BU$73,32,0)&lt;&gt;"",AE$1,"")</f>
        <v>Ölrettich</v>
      </c>
      <c r="AF49" t="str">
        <f>IF(VLOOKUP($A49,Tabelle1!$A$4:$BU$73,33,0)&lt;&gt;"",AF$1,"")</f>
        <v/>
      </c>
      <c r="AG49" t="str">
        <f>IF(VLOOKUP($A49,Tabelle1!$A$4:$BU$73,34,0)&lt;&gt;"",AG$1,"")</f>
        <v/>
      </c>
      <c r="AH49" t="str">
        <f>IF(VLOOKUP($A49,Tabelle1!$A$4:$BU$73,35,0)&lt;&gt;"",AH$1,"")</f>
        <v>Phazelie</v>
      </c>
      <c r="AI49" t="str">
        <f>IF(VLOOKUP($A49,Tabelle1!$A$4:$BU$73,36,0)&lt;&gt;"",AI$1,"")</f>
        <v/>
      </c>
      <c r="AJ49" t="str">
        <f>IF(VLOOKUP($A49,Tabelle1!$A$4:$BU$73,37,0)&lt;&gt;"",AJ$1,"")</f>
        <v/>
      </c>
      <c r="AK49" t="str">
        <f>IF(VLOOKUP($A49,Tabelle1!$A$4:$BU$73,38,0)&lt;&gt;"",AK$1,"")</f>
        <v/>
      </c>
      <c r="AL49" t="str">
        <f>IF(VLOOKUP($A49,Tabelle1!$A$4:$BU$73,39,0)&lt;&gt;"",AL$1,"")</f>
        <v/>
      </c>
      <c r="AM49" t="str">
        <f>IF(VLOOKUP($A49,Tabelle1!$A$4:$BU$73,40,0)&lt;&gt;"",AM$1,"")</f>
        <v/>
      </c>
      <c r="AN49" t="str">
        <f>IF(VLOOKUP($A49,Tabelle1!$A$4:$BU$73,41,0)&lt;&gt;"",AN$1,"")</f>
        <v/>
      </c>
      <c r="AO49" t="str">
        <f>IF(VLOOKUP($A49,Tabelle1!$A$4:$BU$73,42,0)&lt;&gt;"",AO$1,"")</f>
        <v/>
      </c>
      <c r="AP49" t="str">
        <f>IF(VLOOKUP($A49,Tabelle1!$A$4:$BU$73,43,0)&lt;&gt;"",AP$1,"")</f>
        <v/>
      </c>
      <c r="AQ49" t="str">
        <f>IF(VLOOKUP($A49,Tabelle1!$A$4:$BU$73,44,0)&lt;&gt;"",AQ$1,"")</f>
        <v/>
      </c>
      <c r="AR49" t="str">
        <f>IF(VLOOKUP($A49,Tabelle1!$A$4:$BU$73,45,0)&lt;&gt;"",AR$1,"")</f>
        <v/>
      </c>
      <c r="AS49" t="str">
        <f>IF(VLOOKUP($A49,Tabelle1!$A$4:$BU$73,46,0)&lt;&gt;"",AS$1,"")</f>
        <v/>
      </c>
      <c r="AT49" t="str">
        <f>IF(VLOOKUP($A49,Tabelle1!$A$4:$BU$73,47,0)&lt;&gt;"",AT$1,"")</f>
        <v/>
      </c>
      <c r="AU49" t="str">
        <f>IF(VLOOKUP($A49,Tabelle1!$A$4:$BU$73,48,0)&lt;&gt;"",AU$1,"")</f>
        <v/>
      </c>
      <c r="AV49" t="str">
        <f>IF(VLOOKUP($A49,Tabelle1!$A$4:$BU$73,49,0)&lt;&gt;"",AV$1,"")</f>
        <v/>
      </c>
      <c r="AW49" t="str">
        <f>IF(VLOOKUP($A49,Tabelle1!$A$4:$BU$73,50,0)&lt;&gt;"",AW$1,"")</f>
        <v/>
      </c>
      <c r="AX49" t="str">
        <f>IF(VLOOKUP($A49,Tabelle1!$A$4:$BU$73,51,0)&lt;&gt;"",AX$1,"")</f>
        <v/>
      </c>
      <c r="AY49" t="str">
        <f>IF(VLOOKUP($A49,Tabelle1!$A$4:$BU$73,52,0)&lt;&gt;"",AY$1,"")</f>
        <v/>
      </c>
      <c r="AZ49" t="str">
        <f>IF(VLOOKUP($A49,Tabelle1!$A$4:$BU$73,53,0)&lt;&gt;"",AZ$1,"")</f>
        <v/>
      </c>
      <c r="BA49" t="str">
        <f>IF(VLOOKUP($A49,Tabelle1!$A$4:$BU$73,54,0)&lt;&gt;"",BA$1,"")</f>
        <v/>
      </c>
      <c r="BB49" t="str">
        <f>IF(VLOOKUP($A49,Tabelle1!$A$4:$BU$73,55,0)&lt;&gt;"",BB$1,"")</f>
        <v/>
      </c>
      <c r="BC49" t="str">
        <f>IF(VLOOKUP($A49,Tabelle1!$A$4:$BU$73,56,0)&lt;&gt;"",BC$1,"")</f>
        <v/>
      </c>
      <c r="BD49" t="str">
        <f>IF(VLOOKUP($A49,Tabelle1!$A$4:$BU$73,57,0)&lt;&gt;"",BD$1,"")</f>
        <v/>
      </c>
      <c r="BE49" t="str">
        <f>IF(VLOOKUP($A49,Tabelle1!$A$4:$BU$73,58,0)&lt;&gt;"",BE$1,"")</f>
        <v/>
      </c>
      <c r="BF49" t="str">
        <f>IF(VLOOKUP($A49,Tabelle1!$A$4:$BU$73,59,0)&lt;&gt;"",BF$1,"")</f>
        <v/>
      </c>
      <c r="BG49" t="str">
        <f>IF(VLOOKUP($A49,Tabelle1!$A$4:$BU$73,60,0)&lt;&gt;"",BG$1,"")</f>
        <v/>
      </c>
      <c r="BH49" t="str">
        <f>IF(VLOOKUP($A49,Tabelle1!$A$4:$BU$73,61,0)&lt;&gt;"",BH$1,"")</f>
        <v/>
      </c>
      <c r="BI49" t="str">
        <f>IF(VLOOKUP($A49,Tabelle1!$A$4:$BU$73,62,0)&lt;&gt;"",BI$1,"")</f>
        <v/>
      </c>
      <c r="BJ49" t="str">
        <f>IF(VLOOKUP($A49,Tabelle1!$A$4:$BU$73,63,0)&lt;&gt;"",BJ$1,"")</f>
        <v/>
      </c>
      <c r="BK49" t="str">
        <f>IF(VLOOKUP($A49,Tabelle1!$A$4:$BU$73,64,0)&lt;&gt;"",BK$1,"")</f>
        <v/>
      </c>
      <c r="BL49" t="str">
        <f>IF(VLOOKUP($A49,Tabelle1!$A$4:$BU$73,65,0)&lt;&gt;"",BL$1,"")</f>
        <v/>
      </c>
      <c r="BM49" t="str">
        <f>IF(VLOOKUP($A49,Tabelle1!$A$4:$BU$73,66,0)&lt;&gt;"",BM$1,"")</f>
        <v/>
      </c>
      <c r="BN49" t="str">
        <f>IF(VLOOKUP($A49,Tabelle1!$A$4:$BU$73,67,0)&lt;&gt;"",BN$1,"")</f>
        <v/>
      </c>
      <c r="BO49" t="str">
        <f>IF(VLOOKUP($A49,Tabelle1!$A$4:$BU$73,68,0)&lt;&gt;"",BO$1,"")</f>
        <v/>
      </c>
      <c r="BP49" t="str">
        <f>IF(VLOOKUP($A49,Tabelle1!$A$4:$BU$73,69,0)&lt;&gt;"",BP$1,"")</f>
        <v/>
      </c>
      <c r="BQ49" t="str">
        <f>IF(VLOOKUP($A49,Tabelle1!$A$4:$BU$73,70,0)&lt;&gt;"",BQ$1,"")</f>
        <v/>
      </c>
      <c r="BR49" t="str">
        <f>IF(VLOOKUP($A49,Tabelle1!$A$4:$BU$73,71,0)&lt;&gt;"",BR$1,"")</f>
        <v/>
      </c>
      <c r="BS49" t="str">
        <f>IF(VLOOKUP($A49,Tabelle1!$A$4:$BU$73,72,0)&lt;&gt;"",BS$1,"")</f>
        <v/>
      </c>
      <c r="BT49" t="str">
        <f>IF(VLOOKUP($A49,Tabelle1!$A$4:$BU$73,73,0)&lt;&gt;"",BT$1,"")</f>
        <v/>
      </c>
    </row>
    <row r="50" spans="1:72" x14ac:dyDescent="0.2">
      <c r="A50" t="s">
        <v>729</v>
      </c>
      <c r="B50">
        <v>10</v>
      </c>
      <c r="C50">
        <v>4.38</v>
      </c>
      <c r="D50" t="str">
        <f>IF(VLOOKUP($A50,Tabelle1!$A$4:$BU$73,5,0)&lt;&gt;"",D$1,"")</f>
        <v/>
      </c>
      <c r="E50" t="str">
        <f>IF(VLOOKUP($A50,Tabelle1!$A$4:$BU$73,6,0)&lt;&gt;"",E$1,"")</f>
        <v/>
      </c>
      <c r="F50" t="str">
        <f>IF(VLOOKUP($A50,Tabelle1!$A$4:$BU$73,7,0)&lt;&gt;"",F$1,"")</f>
        <v>Alexandrinerklee</v>
      </c>
      <c r="G50" t="str">
        <f>IF(VLOOKUP($A50,Tabelle1!$A$4:$BU$73,8,0)&lt;&gt;"",G$1,"")</f>
        <v/>
      </c>
      <c r="H50" t="str">
        <f>IF(VLOOKUP($A50,Tabelle1!$A$4:$BU$73,9,0)&lt;&gt;"",H$1,"")</f>
        <v/>
      </c>
      <c r="I50" t="str">
        <f>IF(VLOOKUP($A50,Tabelle1!$A$4:$BU$73,10,0)&lt;&gt;"",I$1,"")</f>
        <v/>
      </c>
      <c r="J50" t="str">
        <f>IF(VLOOKUP($A50,Tabelle1!$A$4:$BU$73,11,0)&lt;&gt;"",J$1,"")</f>
        <v/>
      </c>
      <c r="K50" t="str">
        <f>IF(VLOOKUP($A50,Tabelle1!$A$4:$BU$73,12,0)&lt;&gt;"",K$1,"")</f>
        <v/>
      </c>
      <c r="L50" t="str">
        <f>IF(VLOOKUP($A50,Tabelle1!$A$4:$BU$73,13,0)&lt;&gt;"",L$1,"")</f>
        <v/>
      </c>
      <c r="M50" t="str">
        <f>IF(VLOOKUP($A50,Tabelle1!$A$4:$BU$73,14,0)&lt;&gt;"",M$1,"")</f>
        <v/>
      </c>
      <c r="N50" t="str">
        <f>IF(VLOOKUP($A50,Tabelle1!$A$4:$BU$73,15,0)&lt;&gt;"",N$1,"")</f>
        <v/>
      </c>
      <c r="O50" t="str">
        <f>IF(VLOOKUP($A50,Tabelle1!$A$4:$BU$73,16,0)&lt;&gt;"",O$1,"")</f>
        <v/>
      </c>
      <c r="P50" t="str">
        <f>IF(VLOOKUP($A50,Tabelle1!$A$4:$BU$73,17,0)&lt;&gt;"",P$1,"")</f>
        <v/>
      </c>
      <c r="Q50" t="str">
        <f>IF(VLOOKUP($A50,Tabelle1!$A$4:$BU$73,18,0)&lt;&gt;"",Q$1,"")</f>
        <v/>
      </c>
      <c r="R50" t="str">
        <f>IF(VLOOKUP($A50,Tabelle1!$A$4:$BU$73,19,0)&lt;&gt;"",R$1,"")</f>
        <v/>
      </c>
      <c r="S50" t="str">
        <f>IF(VLOOKUP($A50,Tabelle1!$A$4:$BU$73,20,0)&lt;&gt;"",S$1,"")</f>
        <v/>
      </c>
      <c r="T50" t="str">
        <f>IF(VLOOKUP($A50,Tabelle1!$A$4:$BU$73,21,0)&lt;&gt;"",T$1,"")</f>
        <v>Inkarnatklee</v>
      </c>
      <c r="U50" t="str">
        <f>IF(VLOOKUP($A50,Tabelle1!$A$4:$BU$73,22,0)&lt;&gt;"",U$1,"")</f>
        <v/>
      </c>
      <c r="V50" t="str">
        <f>IF(VLOOKUP($A50,Tabelle1!$A$4:$BU$73,23,0)&lt;&gt;"",V$1,"")</f>
        <v>Kresse</v>
      </c>
      <c r="W50" t="str">
        <f>IF(VLOOKUP($A50,Tabelle1!$A$4:$BU$73,24,0)&lt;&gt;"",W$1,"")</f>
        <v>Krumenklee</v>
      </c>
      <c r="X50" t="str">
        <f>IF(VLOOKUP($A50,Tabelle1!$A$4:$BU$73,25,0)&lt;&gt;"",X$1,"")</f>
        <v/>
      </c>
      <c r="Y50" t="str">
        <f>IF(VLOOKUP($A50,Tabelle1!$A$4:$BU$73,26,0)&lt;&gt;"",Y$1,"")</f>
        <v/>
      </c>
      <c r="Z50" t="str">
        <f>IF(VLOOKUP($A50,Tabelle1!$A$4:$BU$73,27,0)&lt;&gt;"",Z$1,"")</f>
        <v/>
      </c>
      <c r="AA50" t="str">
        <f>IF(VLOOKUP($A50,Tabelle1!$A$4:$BU$73,28,0)&lt;&gt;"",AA$1,"")</f>
        <v/>
      </c>
      <c r="AB50" t="str">
        <f>IF(VLOOKUP($A50,Tabelle1!$A$4:$BU$73,29,0)&lt;&gt;"",AB$1,"")</f>
        <v/>
      </c>
      <c r="AC50" t="str">
        <f>IF(VLOOKUP($A50,Tabelle1!$A$4:$BU$73,30,0)&lt;&gt;"",AC$1,"")</f>
        <v>Schwarzsamen/Ramtilkraut/Gingellikraut/Mungo</v>
      </c>
      <c r="AD50" t="str">
        <f>IF(VLOOKUP($A50,Tabelle1!$A$4:$BU$73,31,0)&lt;&gt;"",AD$1,"")</f>
        <v/>
      </c>
      <c r="AE50" t="str">
        <f>IF(VLOOKUP($A50,Tabelle1!$A$4:$BU$73,32,0)&lt;&gt;"",AE$1,"")</f>
        <v>Ölrettich</v>
      </c>
      <c r="AF50" t="str">
        <f>IF(VLOOKUP($A50,Tabelle1!$A$4:$BU$73,33,0)&lt;&gt;"",AF$1,"")</f>
        <v/>
      </c>
      <c r="AG50" t="str">
        <f>IF(VLOOKUP($A50,Tabelle1!$A$4:$BU$73,34,0)&lt;&gt;"",AG$1,"")</f>
        <v/>
      </c>
      <c r="AH50" t="str">
        <f>IF(VLOOKUP($A50,Tabelle1!$A$4:$BU$73,35,0)&lt;&gt;"",AH$1,"")</f>
        <v/>
      </c>
      <c r="AI50" t="str">
        <f>IF(VLOOKUP($A50,Tabelle1!$A$4:$BU$73,36,0)&lt;&gt;"",AI$1,"")</f>
        <v/>
      </c>
      <c r="AJ50" t="str">
        <f>IF(VLOOKUP($A50,Tabelle1!$A$4:$BU$73,37,0)&lt;&gt;"",AJ$1,"")</f>
        <v/>
      </c>
      <c r="AK50" t="str">
        <f>IF(VLOOKUP($A50,Tabelle1!$A$4:$BU$73,38,0)&lt;&gt;"",AK$1,"")</f>
        <v/>
      </c>
      <c r="AL50" t="str">
        <f>IF(VLOOKUP($A50,Tabelle1!$A$4:$BU$73,39,0)&lt;&gt;"",AL$1,"")</f>
        <v/>
      </c>
      <c r="AM50" t="str">
        <f>IF(VLOOKUP($A50,Tabelle1!$A$4:$BU$73,40,0)&lt;&gt;"",AM$1,"")</f>
        <v/>
      </c>
      <c r="AN50" t="str">
        <f>IF(VLOOKUP($A50,Tabelle1!$A$4:$BU$73,41,0)&lt;&gt;"",AN$1,"")</f>
        <v/>
      </c>
      <c r="AO50" t="str">
        <f>IF(VLOOKUP($A50,Tabelle1!$A$4:$BU$73,42,0)&lt;&gt;"",AO$1,"")</f>
        <v/>
      </c>
      <c r="AP50" t="str">
        <f>IF(VLOOKUP($A50,Tabelle1!$A$4:$BU$73,43,0)&lt;&gt;"",AP$1,"")</f>
        <v/>
      </c>
      <c r="AQ50" t="str">
        <f>IF(VLOOKUP($A50,Tabelle1!$A$4:$BU$73,44,0)&lt;&gt;"",AQ$1,"")</f>
        <v/>
      </c>
      <c r="AR50" t="str">
        <f>IF(VLOOKUP($A50,Tabelle1!$A$4:$BU$73,45,0)&lt;&gt;"",AR$1,"")</f>
        <v/>
      </c>
      <c r="AS50" t="str">
        <f>IF(VLOOKUP($A50,Tabelle1!$A$4:$BU$73,46,0)&lt;&gt;"",AS$1,"")</f>
        <v/>
      </c>
      <c r="AT50" t="str">
        <f>IF(VLOOKUP($A50,Tabelle1!$A$4:$BU$73,47,0)&lt;&gt;"",AT$1,"")</f>
        <v/>
      </c>
      <c r="AU50" t="str">
        <f>IF(VLOOKUP($A50,Tabelle1!$A$4:$BU$73,48,0)&lt;&gt;"",AU$1,"")</f>
        <v/>
      </c>
      <c r="AV50" t="str">
        <f>IF(VLOOKUP($A50,Tabelle1!$A$4:$BU$73,49,0)&lt;&gt;"",AV$1,"")</f>
        <v/>
      </c>
      <c r="AW50" t="str">
        <f>IF(VLOOKUP($A50,Tabelle1!$A$4:$BU$73,50,0)&lt;&gt;"",AW$1,"")</f>
        <v/>
      </c>
      <c r="AX50" t="str">
        <f>IF(VLOOKUP($A50,Tabelle1!$A$4:$BU$73,51,0)&lt;&gt;"",AX$1,"")</f>
        <v/>
      </c>
      <c r="AY50" t="str">
        <f>IF(VLOOKUP($A50,Tabelle1!$A$4:$BU$73,52,0)&lt;&gt;"",AY$1,"")</f>
        <v/>
      </c>
      <c r="AZ50" t="str">
        <f>IF(VLOOKUP($A50,Tabelle1!$A$4:$BU$73,53,0)&lt;&gt;"",AZ$1,"")</f>
        <v/>
      </c>
      <c r="BA50" t="str">
        <f>IF(VLOOKUP($A50,Tabelle1!$A$4:$BU$73,54,0)&lt;&gt;"",BA$1,"")</f>
        <v/>
      </c>
      <c r="BB50" t="str">
        <f>IF(VLOOKUP($A50,Tabelle1!$A$4:$BU$73,55,0)&lt;&gt;"",BB$1,"")</f>
        <v/>
      </c>
      <c r="BC50" t="str">
        <f>IF(VLOOKUP($A50,Tabelle1!$A$4:$BU$73,56,0)&lt;&gt;"",BC$1,"")</f>
        <v/>
      </c>
      <c r="BD50" t="str">
        <f>IF(VLOOKUP($A50,Tabelle1!$A$4:$BU$73,57,0)&lt;&gt;"",BD$1,"")</f>
        <v/>
      </c>
      <c r="BE50" t="str">
        <f>IF(VLOOKUP($A50,Tabelle1!$A$4:$BU$73,58,0)&lt;&gt;"",BE$1,"")</f>
        <v/>
      </c>
      <c r="BF50" t="str">
        <f>IF(VLOOKUP($A50,Tabelle1!$A$4:$BU$73,59,0)&lt;&gt;"",BF$1,"")</f>
        <v/>
      </c>
      <c r="BG50" t="str">
        <f>IF(VLOOKUP($A50,Tabelle1!$A$4:$BU$73,60,0)&lt;&gt;"",BG$1,"")</f>
        <v/>
      </c>
      <c r="BH50" t="str">
        <f>IF(VLOOKUP($A50,Tabelle1!$A$4:$BU$73,61,0)&lt;&gt;"",BH$1,"")</f>
        <v/>
      </c>
      <c r="BI50" t="str">
        <f>IF(VLOOKUP($A50,Tabelle1!$A$4:$BU$73,62,0)&lt;&gt;"",BI$1,"")</f>
        <v/>
      </c>
      <c r="BJ50" t="str">
        <f>IF(VLOOKUP($A50,Tabelle1!$A$4:$BU$73,63,0)&lt;&gt;"",BJ$1,"")</f>
        <v/>
      </c>
      <c r="BK50" t="str">
        <f>IF(VLOOKUP($A50,Tabelle1!$A$4:$BU$73,64,0)&lt;&gt;"",BK$1,"")</f>
        <v/>
      </c>
      <c r="BL50" t="str">
        <f>IF(VLOOKUP($A50,Tabelle1!$A$4:$BU$73,65,0)&lt;&gt;"",BL$1,"")</f>
        <v/>
      </c>
      <c r="BM50" t="str">
        <f>IF(VLOOKUP($A50,Tabelle1!$A$4:$BU$73,66,0)&lt;&gt;"",BM$1,"")</f>
        <v/>
      </c>
      <c r="BN50" t="str">
        <f>IF(VLOOKUP($A50,Tabelle1!$A$4:$BU$73,67,0)&lt;&gt;"",BN$1,"")</f>
        <v/>
      </c>
      <c r="BO50" t="str">
        <f>IF(VLOOKUP($A50,Tabelle1!$A$4:$BU$73,68,0)&lt;&gt;"",BO$1,"")</f>
        <v/>
      </c>
      <c r="BP50" t="str">
        <f>IF(VLOOKUP($A50,Tabelle1!$A$4:$BU$73,69,0)&lt;&gt;"",BP$1,"")</f>
        <v/>
      </c>
      <c r="BQ50" t="str">
        <f>IF(VLOOKUP($A50,Tabelle1!$A$4:$BU$73,70,0)&lt;&gt;"",BQ$1,"")</f>
        <v/>
      </c>
      <c r="BR50" t="str">
        <f>IF(VLOOKUP($A50,Tabelle1!$A$4:$BU$73,71,0)&lt;&gt;"",BR$1,"")</f>
        <v/>
      </c>
      <c r="BS50" t="str">
        <f>IF(VLOOKUP($A50,Tabelle1!$A$4:$BU$73,72,0)&lt;&gt;"",BS$1,"")</f>
        <v/>
      </c>
      <c r="BT50" t="str">
        <f>IF(VLOOKUP($A50,Tabelle1!$A$4:$BU$73,73,0)&lt;&gt;"",BT$1,"")</f>
        <v/>
      </c>
    </row>
    <row r="51" spans="1:72" x14ac:dyDescent="0.2">
      <c r="A51" t="s">
        <v>425</v>
      </c>
      <c r="B51">
        <v>8</v>
      </c>
      <c r="C51">
        <v>4</v>
      </c>
      <c r="D51" t="str">
        <f>IF(VLOOKUP($A51,Tabelle1!$A$4:$BU$73,5,0)&lt;&gt;"",D$1,"")</f>
        <v/>
      </c>
      <c r="E51" t="str">
        <f>IF(VLOOKUP($A51,Tabelle1!$A$4:$BU$73,6,0)&lt;&gt;"",E$1,"")</f>
        <v/>
      </c>
      <c r="F51" t="str">
        <f>IF(VLOOKUP($A51,Tabelle1!$A$4:$BU$73,7,0)&lt;&gt;"",F$1,"")</f>
        <v>Alexandrinerklee</v>
      </c>
      <c r="G51" t="str">
        <f>IF(VLOOKUP($A51,Tabelle1!$A$4:$BU$73,8,0)&lt;&gt;"",G$1,"")</f>
        <v/>
      </c>
      <c r="H51" t="str">
        <f>IF(VLOOKUP($A51,Tabelle1!$A$4:$BU$73,9,0)&lt;&gt;"",H$1,"")</f>
        <v/>
      </c>
      <c r="I51" t="str">
        <f>IF(VLOOKUP($A51,Tabelle1!$A$4:$BU$73,10,0)&lt;&gt;"",I$1,"")</f>
        <v/>
      </c>
      <c r="J51" t="str">
        <f>IF(VLOOKUP($A51,Tabelle1!$A$4:$BU$73,11,0)&lt;&gt;"",J$1,"")</f>
        <v/>
      </c>
      <c r="K51" t="str">
        <f>IF(VLOOKUP($A51,Tabelle1!$A$4:$BU$73,12,0)&lt;&gt;"",K$1,"")</f>
        <v/>
      </c>
      <c r="L51" t="str">
        <f>IF(VLOOKUP($A51,Tabelle1!$A$4:$BU$73,13,0)&lt;&gt;"",L$1,"")</f>
        <v/>
      </c>
      <c r="M51" t="str">
        <f>IF(VLOOKUP($A51,Tabelle1!$A$4:$BU$73,14,0)&lt;&gt;"",M$1,"")</f>
        <v/>
      </c>
      <c r="N51" t="str">
        <f>IF(VLOOKUP($A51,Tabelle1!$A$4:$BU$73,15,0)&lt;&gt;"",N$1,"")</f>
        <v/>
      </c>
      <c r="O51" t="str">
        <f>IF(VLOOKUP($A51,Tabelle1!$A$4:$BU$73,16,0)&lt;&gt;"",O$1,"")</f>
        <v/>
      </c>
      <c r="P51" t="str">
        <f>IF(VLOOKUP($A51,Tabelle1!$A$4:$BU$73,17,0)&lt;&gt;"",P$1,"")</f>
        <v/>
      </c>
      <c r="Q51" t="str">
        <f>IF(VLOOKUP($A51,Tabelle1!$A$4:$BU$73,18,0)&lt;&gt;"",Q$1,"")</f>
        <v/>
      </c>
      <c r="R51" t="str">
        <f>IF(VLOOKUP($A51,Tabelle1!$A$4:$BU$73,19,0)&lt;&gt;"",R$1,"")</f>
        <v/>
      </c>
      <c r="S51" t="str">
        <f>IF(VLOOKUP($A51,Tabelle1!$A$4:$BU$73,20,0)&lt;&gt;"",S$1,"")</f>
        <v/>
      </c>
      <c r="T51" t="str">
        <f>IF(VLOOKUP($A51,Tabelle1!$A$4:$BU$73,21,0)&lt;&gt;"",T$1,"")</f>
        <v>Inkarnatklee</v>
      </c>
      <c r="U51" t="str">
        <f>IF(VLOOKUP($A51,Tabelle1!$A$4:$BU$73,22,0)&lt;&gt;"",U$1,"")</f>
        <v/>
      </c>
      <c r="V51" t="str">
        <f>IF(VLOOKUP($A51,Tabelle1!$A$4:$BU$73,23,0)&lt;&gt;"",V$1,"")</f>
        <v/>
      </c>
      <c r="W51" t="str">
        <f>IF(VLOOKUP($A51,Tabelle1!$A$4:$BU$73,24,0)&lt;&gt;"",W$1,"")</f>
        <v/>
      </c>
      <c r="X51" t="str">
        <f>IF(VLOOKUP($A51,Tabelle1!$A$4:$BU$73,25,0)&lt;&gt;"",X$1,"")</f>
        <v/>
      </c>
      <c r="Y51" t="str">
        <f>IF(VLOOKUP($A51,Tabelle1!$A$4:$BU$73,26,0)&lt;&gt;"",Y$1,"")</f>
        <v/>
      </c>
      <c r="Z51" t="str">
        <f>IF(VLOOKUP($A51,Tabelle1!$A$4:$BU$73,27,0)&lt;&gt;"",Z$1,"")</f>
        <v/>
      </c>
      <c r="AA51" t="str">
        <f>IF(VLOOKUP($A51,Tabelle1!$A$4:$BU$73,28,0)&lt;&gt;"",AA$1,"")</f>
        <v/>
      </c>
      <c r="AB51" t="str">
        <f>IF(VLOOKUP($A51,Tabelle1!$A$4:$BU$73,29,0)&lt;&gt;"",AB$1,"")</f>
        <v/>
      </c>
      <c r="AC51" t="str">
        <f>IF(VLOOKUP($A51,Tabelle1!$A$4:$BU$73,30,0)&lt;&gt;"",AC$1,"")</f>
        <v>Schwarzsamen/Ramtilkraut/Gingellikraut/Mungo</v>
      </c>
      <c r="AD51" t="str">
        <f>IF(VLOOKUP($A51,Tabelle1!$A$4:$BU$73,31,0)&lt;&gt;"",AD$1,"")</f>
        <v>Öllein</v>
      </c>
      <c r="AE51" t="str">
        <f>IF(VLOOKUP($A51,Tabelle1!$A$4:$BU$73,32,0)&lt;&gt;"",AE$1,"")</f>
        <v/>
      </c>
      <c r="AF51" t="str">
        <f>IF(VLOOKUP($A51,Tabelle1!$A$4:$BU$73,33,0)&lt;&gt;"",AF$1,"")</f>
        <v/>
      </c>
      <c r="AG51" t="str">
        <f>IF(VLOOKUP($A51,Tabelle1!$A$4:$BU$73,34,0)&lt;&gt;"",AG$1,"")</f>
        <v/>
      </c>
      <c r="AH51" t="str">
        <f>IF(VLOOKUP($A51,Tabelle1!$A$4:$BU$73,35,0)&lt;&gt;"",AH$1,"")</f>
        <v/>
      </c>
      <c r="AI51" t="str">
        <f>IF(VLOOKUP($A51,Tabelle1!$A$4:$BU$73,36,0)&lt;&gt;"",AI$1,"")</f>
        <v/>
      </c>
      <c r="AJ51" t="str">
        <f>IF(VLOOKUP($A51,Tabelle1!$A$4:$BU$73,37,0)&lt;&gt;"",AJ$1,"")</f>
        <v/>
      </c>
      <c r="AK51" t="str">
        <f>IF(VLOOKUP($A51,Tabelle1!$A$4:$BU$73,38,0)&lt;&gt;"",AK$1,"")</f>
        <v/>
      </c>
      <c r="AL51" t="str">
        <f>IF(VLOOKUP($A51,Tabelle1!$A$4:$BU$73,39,0)&lt;&gt;"",AL$1,"")</f>
        <v/>
      </c>
      <c r="AM51" t="str">
        <f>IF(VLOOKUP($A51,Tabelle1!$A$4:$BU$73,40,0)&lt;&gt;"",AM$1,"")</f>
        <v/>
      </c>
      <c r="AN51" t="str">
        <f>IF(VLOOKUP($A51,Tabelle1!$A$4:$BU$73,41,0)&lt;&gt;"",AN$1,"")</f>
        <v/>
      </c>
      <c r="AO51" t="str">
        <f>IF(VLOOKUP($A51,Tabelle1!$A$4:$BU$73,42,0)&lt;&gt;"",AO$1,"")</f>
        <v/>
      </c>
      <c r="AP51" t="str">
        <f>IF(VLOOKUP($A51,Tabelle1!$A$4:$BU$73,43,0)&lt;&gt;"",AP$1,"")</f>
        <v/>
      </c>
      <c r="AQ51" t="str">
        <f>IF(VLOOKUP($A51,Tabelle1!$A$4:$BU$73,44,0)&lt;&gt;"",AQ$1,"")</f>
        <v/>
      </c>
      <c r="AR51" t="str">
        <f>IF(VLOOKUP($A51,Tabelle1!$A$4:$BU$73,45,0)&lt;&gt;"",AR$1,"")</f>
        <v/>
      </c>
      <c r="AS51" t="str">
        <f>IF(VLOOKUP($A51,Tabelle1!$A$4:$BU$73,46,0)&lt;&gt;"",AS$1,"")</f>
        <v/>
      </c>
      <c r="AT51" t="str">
        <f>IF(VLOOKUP($A51,Tabelle1!$A$4:$BU$73,47,0)&lt;&gt;"",AT$1,"")</f>
        <v/>
      </c>
      <c r="AU51" t="str">
        <f>IF(VLOOKUP($A51,Tabelle1!$A$4:$BU$73,48,0)&lt;&gt;"",AU$1,"")</f>
        <v/>
      </c>
      <c r="AV51" t="str">
        <f>IF(VLOOKUP($A51,Tabelle1!$A$4:$BU$73,49,0)&lt;&gt;"",AV$1,"")</f>
        <v/>
      </c>
      <c r="AW51" t="str">
        <f>IF(VLOOKUP($A51,Tabelle1!$A$4:$BU$73,50,0)&lt;&gt;"",AW$1,"")</f>
        <v/>
      </c>
      <c r="AX51" t="str">
        <f>IF(VLOOKUP($A51,Tabelle1!$A$4:$BU$73,51,0)&lt;&gt;"",AX$1,"")</f>
        <v/>
      </c>
      <c r="AY51" t="str">
        <f>IF(VLOOKUP($A51,Tabelle1!$A$4:$BU$73,52,0)&lt;&gt;"",AY$1,"")</f>
        <v/>
      </c>
      <c r="AZ51" t="str">
        <f>IF(VLOOKUP($A51,Tabelle1!$A$4:$BU$73,53,0)&lt;&gt;"",AZ$1,"")</f>
        <v/>
      </c>
      <c r="BA51" t="str">
        <f>IF(VLOOKUP($A51,Tabelle1!$A$4:$BU$73,54,0)&lt;&gt;"",BA$1,"")</f>
        <v/>
      </c>
      <c r="BB51" t="str">
        <f>IF(VLOOKUP($A51,Tabelle1!$A$4:$BU$73,55,0)&lt;&gt;"",BB$1,"")</f>
        <v/>
      </c>
      <c r="BC51" t="str">
        <f>IF(VLOOKUP($A51,Tabelle1!$A$4:$BU$73,56,0)&lt;&gt;"",BC$1,"")</f>
        <v/>
      </c>
      <c r="BD51" t="str">
        <f>IF(VLOOKUP($A51,Tabelle1!$A$4:$BU$73,57,0)&lt;&gt;"",BD$1,"")</f>
        <v/>
      </c>
      <c r="BE51" t="str">
        <f>IF(VLOOKUP($A51,Tabelle1!$A$4:$BU$73,58,0)&lt;&gt;"",BE$1,"")</f>
        <v/>
      </c>
      <c r="BF51" t="str">
        <f>IF(VLOOKUP($A51,Tabelle1!$A$4:$BU$73,59,0)&lt;&gt;"",BF$1,"")</f>
        <v/>
      </c>
      <c r="BG51" t="str">
        <f>IF(VLOOKUP($A51,Tabelle1!$A$4:$BU$73,60,0)&lt;&gt;"",BG$1,"")</f>
        <v/>
      </c>
      <c r="BH51" t="str">
        <f>IF(VLOOKUP($A51,Tabelle1!$A$4:$BU$73,61,0)&lt;&gt;"",BH$1,"")</f>
        <v/>
      </c>
      <c r="BI51" t="str">
        <f>IF(VLOOKUP($A51,Tabelle1!$A$4:$BU$73,62,0)&lt;&gt;"",BI$1,"")</f>
        <v/>
      </c>
      <c r="BJ51" t="str">
        <f>IF(VLOOKUP($A51,Tabelle1!$A$4:$BU$73,63,0)&lt;&gt;"",BJ$1,"")</f>
        <v/>
      </c>
      <c r="BK51" t="str">
        <f>IF(VLOOKUP($A51,Tabelle1!$A$4:$BU$73,64,0)&lt;&gt;"",BK$1,"")</f>
        <v/>
      </c>
      <c r="BL51" t="str">
        <f>IF(VLOOKUP($A51,Tabelle1!$A$4:$BU$73,65,0)&lt;&gt;"",BL$1,"")</f>
        <v/>
      </c>
      <c r="BM51" t="str">
        <f>IF(VLOOKUP($A51,Tabelle1!$A$4:$BU$73,66,0)&lt;&gt;"",BM$1,"")</f>
        <v/>
      </c>
      <c r="BN51" t="str">
        <f>IF(VLOOKUP($A51,Tabelle1!$A$4:$BU$73,67,0)&lt;&gt;"",BN$1,"")</f>
        <v/>
      </c>
      <c r="BO51" t="str">
        <f>IF(VLOOKUP($A51,Tabelle1!$A$4:$BU$73,68,0)&lt;&gt;"",BO$1,"")</f>
        <v/>
      </c>
      <c r="BP51" t="str">
        <f>IF(VLOOKUP($A51,Tabelle1!$A$4:$BU$73,69,0)&lt;&gt;"",BP$1,"")</f>
        <v/>
      </c>
      <c r="BQ51" t="str">
        <f>IF(VLOOKUP($A51,Tabelle1!$A$4:$BU$73,70,0)&lt;&gt;"",BQ$1,"")</f>
        <v/>
      </c>
      <c r="BR51" t="str">
        <f>IF(VLOOKUP($A51,Tabelle1!$A$4:$BU$73,71,0)&lt;&gt;"",BR$1,"")</f>
        <v/>
      </c>
      <c r="BS51" t="str">
        <f>IF(VLOOKUP($A51,Tabelle1!$A$4:$BU$73,72,0)&lt;&gt;"",BS$1,"")</f>
        <v/>
      </c>
      <c r="BT51" t="str">
        <f>IF(VLOOKUP($A51,Tabelle1!$A$4:$BU$73,73,0)&lt;&gt;"",BT$1,"")</f>
        <v/>
      </c>
    </row>
    <row r="52" spans="1:72" x14ac:dyDescent="0.2">
      <c r="A52" t="s">
        <v>706</v>
      </c>
      <c r="B52">
        <v>23</v>
      </c>
      <c r="C52">
        <v>3.32</v>
      </c>
      <c r="D52" t="str">
        <f>IF(VLOOKUP($A52,Tabelle1!$A$4:$BU$73,5,0)&lt;&gt;"",D$1,"")</f>
        <v xml:space="preserve">Abessinischer Senf </v>
      </c>
      <c r="E52" t="str">
        <f>IF(VLOOKUP($A52,Tabelle1!$A$4:$BU$73,6,0)&lt;&gt;"",E$1,"")</f>
        <v/>
      </c>
      <c r="F52" t="str">
        <f>IF(VLOOKUP($A52,Tabelle1!$A$4:$BU$73,7,0)&lt;&gt;"",F$1,"")</f>
        <v>Alexandrinerklee</v>
      </c>
      <c r="G52" t="str">
        <f>IF(VLOOKUP($A52,Tabelle1!$A$4:$BU$73,8,0)&lt;&gt;"",G$1,"")</f>
        <v/>
      </c>
      <c r="H52" t="str">
        <f>IF(VLOOKUP($A52,Tabelle1!$A$4:$BU$73,9,0)&lt;&gt;"",H$1,"")</f>
        <v/>
      </c>
      <c r="I52" t="str">
        <f>IF(VLOOKUP($A52,Tabelle1!$A$4:$BU$73,10,0)&lt;&gt;"",I$1,"")</f>
        <v/>
      </c>
      <c r="J52" t="str">
        <f>IF(VLOOKUP($A52,Tabelle1!$A$4:$BU$73,11,0)&lt;&gt;"",J$1,"")</f>
        <v/>
      </c>
      <c r="K52" t="str">
        <f>IF(VLOOKUP($A52,Tabelle1!$A$4:$BU$73,12,0)&lt;&gt;"",K$1,"")</f>
        <v/>
      </c>
      <c r="L52" t="str">
        <f>IF(VLOOKUP($A52,Tabelle1!$A$4:$BU$73,13,0)&lt;&gt;"",L$1,"")</f>
        <v/>
      </c>
      <c r="M52" t="str">
        <f>IF(VLOOKUP($A52,Tabelle1!$A$4:$BU$73,14,0)&lt;&gt;"",M$1,"")</f>
        <v>Futtererbse</v>
      </c>
      <c r="N52" t="str">
        <f>IF(VLOOKUP($A52,Tabelle1!$A$4:$BU$73,15,0)&lt;&gt;"",N$1,"")</f>
        <v/>
      </c>
      <c r="O52" t="str">
        <f>IF(VLOOKUP($A52,Tabelle1!$A$4:$BU$73,16,0)&lt;&gt;"",O$1,"")</f>
        <v/>
      </c>
      <c r="P52" t="str">
        <f>IF(VLOOKUP($A52,Tabelle1!$A$4:$BU$73,17,0)&lt;&gt;"",P$1,"")</f>
        <v/>
      </c>
      <c r="Q52" t="str">
        <f>IF(VLOOKUP($A52,Tabelle1!$A$4:$BU$73,18,0)&lt;&gt;"",Q$1,"")</f>
        <v/>
      </c>
      <c r="R52" t="str">
        <f>IF(VLOOKUP($A52,Tabelle1!$A$4:$BU$73,19,0)&lt;&gt;"",R$1,"")</f>
        <v>Hirse</v>
      </c>
      <c r="S52" t="str">
        <f>IF(VLOOKUP($A52,Tabelle1!$A$4:$BU$73,20,0)&lt;&gt;"",S$1,"")</f>
        <v/>
      </c>
      <c r="T52" t="str">
        <f>IF(VLOOKUP($A52,Tabelle1!$A$4:$BU$73,21,0)&lt;&gt;"",T$1,"")</f>
        <v/>
      </c>
      <c r="U52" t="str">
        <f>IF(VLOOKUP($A52,Tabelle1!$A$4:$BU$73,22,0)&lt;&gt;"",U$1,"")</f>
        <v/>
      </c>
      <c r="V52" t="str">
        <f>IF(VLOOKUP($A52,Tabelle1!$A$4:$BU$73,23,0)&lt;&gt;"",V$1,"")</f>
        <v/>
      </c>
      <c r="W52" t="str">
        <f>IF(VLOOKUP($A52,Tabelle1!$A$4:$BU$73,24,0)&lt;&gt;"",W$1,"")</f>
        <v/>
      </c>
      <c r="X52" t="str">
        <f>IF(VLOOKUP($A52,Tabelle1!$A$4:$BU$73,25,0)&lt;&gt;"",X$1,"")</f>
        <v/>
      </c>
      <c r="Y52" t="str">
        <f>IF(VLOOKUP($A52,Tabelle1!$A$4:$BU$73,26,0)&lt;&gt;"",Y$1,"")</f>
        <v/>
      </c>
      <c r="Z52" t="str">
        <f>IF(VLOOKUP($A52,Tabelle1!$A$4:$BU$73,27,0)&lt;&gt;"",Z$1,"")</f>
        <v/>
      </c>
      <c r="AA52" t="str">
        <f>IF(VLOOKUP($A52,Tabelle1!$A$4:$BU$73,28,0)&lt;&gt;"",AA$1,"")</f>
        <v/>
      </c>
      <c r="AB52" t="str">
        <f>IF(VLOOKUP($A52,Tabelle1!$A$4:$BU$73,29,0)&lt;&gt;"",AB$1,"")</f>
        <v/>
      </c>
      <c r="AC52" t="str">
        <f>IF(VLOOKUP($A52,Tabelle1!$A$4:$BU$73,30,0)&lt;&gt;"",AC$1,"")</f>
        <v>Schwarzsamen/Ramtilkraut/Gingellikraut/Mungo</v>
      </c>
      <c r="AD52" t="str">
        <f>IF(VLOOKUP($A52,Tabelle1!$A$4:$BU$73,31,0)&lt;&gt;"",AD$1,"")</f>
        <v>Öllein</v>
      </c>
      <c r="AE52" t="str">
        <f>IF(VLOOKUP($A52,Tabelle1!$A$4:$BU$73,32,0)&lt;&gt;"",AE$1,"")</f>
        <v/>
      </c>
      <c r="AF52" t="str">
        <f>IF(VLOOKUP($A52,Tabelle1!$A$4:$BU$73,33,0)&lt;&gt;"",AF$1,"")</f>
        <v/>
      </c>
      <c r="AG52" t="str">
        <f>IF(VLOOKUP($A52,Tabelle1!$A$4:$BU$73,34,0)&lt;&gt;"",AG$1,"")</f>
        <v/>
      </c>
      <c r="AH52" t="str">
        <f>IF(VLOOKUP($A52,Tabelle1!$A$4:$BU$73,35,0)&lt;&gt;"",AH$1,"")</f>
        <v/>
      </c>
      <c r="AI52" t="str">
        <f>IF(VLOOKUP($A52,Tabelle1!$A$4:$BU$73,36,0)&lt;&gt;"",AI$1,"")</f>
        <v/>
      </c>
      <c r="AJ52" t="str">
        <f>IF(VLOOKUP($A52,Tabelle1!$A$4:$BU$73,37,0)&lt;&gt;"",AJ$1,"")</f>
        <v/>
      </c>
      <c r="AK52" t="str">
        <f>IF(VLOOKUP($A52,Tabelle1!$A$4:$BU$73,38,0)&lt;&gt;"",AK$1,"")</f>
        <v/>
      </c>
      <c r="AL52" t="str">
        <f>IF(VLOOKUP($A52,Tabelle1!$A$4:$BU$73,39,0)&lt;&gt;"",AL$1,"")</f>
        <v/>
      </c>
      <c r="AM52" t="str">
        <f>IF(VLOOKUP($A52,Tabelle1!$A$4:$BU$73,40,0)&lt;&gt;"",AM$1,"")</f>
        <v>Saatwicke / Sommerwicke</v>
      </c>
      <c r="AN52" t="str">
        <f>IF(VLOOKUP($A52,Tabelle1!$A$4:$BU$73,41,0)&lt;&gt;"",AN$1,"")</f>
        <v/>
      </c>
      <c r="AO52" t="str">
        <f>IF(VLOOKUP($A52,Tabelle1!$A$4:$BU$73,42,0)&lt;&gt;"",AO$1,"")</f>
        <v/>
      </c>
      <c r="AP52" t="str">
        <f>IF(VLOOKUP($A52,Tabelle1!$A$4:$BU$73,43,0)&lt;&gt;"",AP$1,"")</f>
        <v/>
      </c>
      <c r="AQ52" t="str">
        <f>IF(VLOOKUP($A52,Tabelle1!$A$4:$BU$73,44,0)&lt;&gt;"",AQ$1,"")</f>
        <v/>
      </c>
      <c r="AR52" t="str">
        <f>IF(VLOOKUP($A52,Tabelle1!$A$4:$BU$73,45,0)&lt;&gt;"",AR$1,"")</f>
        <v/>
      </c>
      <c r="AS52" t="str">
        <f>IF(VLOOKUP($A52,Tabelle1!$A$4:$BU$73,46,0)&lt;&gt;"",AS$1,"")</f>
        <v/>
      </c>
      <c r="AT52" t="str">
        <f>IF(VLOOKUP($A52,Tabelle1!$A$4:$BU$73,47,0)&lt;&gt;"",AT$1,"")</f>
        <v/>
      </c>
      <c r="AU52" t="str">
        <f>IF(VLOOKUP($A52,Tabelle1!$A$4:$BU$73,48,0)&lt;&gt;"",AU$1,"")</f>
        <v/>
      </c>
      <c r="AV52" t="str">
        <f>IF(VLOOKUP($A52,Tabelle1!$A$4:$BU$73,49,0)&lt;&gt;"",AV$1,"")</f>
        <v/>
      </c>
      <c r="AW52" t="str">
        <f>IF(VLOOKUP($A52,Tabelle1!$A$4:$BU$73,50,0)&lt;&gt;"",AW$1,"")</f>
        <v/>
      </c>
      <c r="AX52" t="str">
        <f>IF(VLOOKUP($A52,Tabelle1!$A$4:$BU$73,51,0)&lt;&gt;"",AX$1,"")</f>
        <v/>
      </c>
      <c r="AY52" t="str">
        <f>IF(VLOOKUP($A52,Tabelle1!$A$4:$BU$73,52,0)&lt;&gt;"",AY$1,"")</f>
        <v/>
      </c>
      <c r="AZ52" t="str">
        <f>IF(VLOOKUP($A52,Tabelle1!$A$4:$BU$73,53,0)&lt;&gt;"",AZ$1,"")</f>
        <v/>
      </c>
      <c r="BA52" t="str">
        <f>IF(VLOOKUP($A52,Tabelle1!$A$4:$BU$73,54,0)&lt;&gt;"",BA$1,"")</f>
        <v/>
      </c>
      <c r="BB52" t="str">
        <f>IF(VLOOKUP($A52,Tabelle1!$A$4:$BU$73,55,0)&lt;&gt;"",BB$1,"")</f>
        <v/>
      </c>
      <c r="BC52" t="str">
        <f>IF(VLOOKUP($A52,Tabelle1!$A$4:$BU$73,56,0)&lt;&gt;"",BC$1,"")</f>
        <v/>
      </c>
      <c r="BD52" t="str">
        <f>IF(VLOOKUP($A52,Tabelle1!$A$4:$BU$73,57,0)&lt;&gt;"",BD$1,"")</f>
        <v/>
      </c>
      <c r="BE52" t="str">
        <f>IF(VLOOKUP($A52,Tabelle1!$A$4:$BU$73,58,0)&lt;&gt;"",BE$1,"")</f>
        <v/>
      </c>
      <c r="BF52" t="str">
        <f>IF(VLOOKUP($A52,Tabelle1!$A$4:$BU$73,59,0)&lt;&gt;"",BF$1,"")</f>
        <v/>
      </c>
      <c r="BG52" t="str">
        <f>IF(VLOOKUP($A52,Tabelle1!$A$4:$BU$73,60,0)&lt;&gt;"",BG$1,"")</f>
        <v/>
      </c>
      <c r="BH52" t="str">
        <f>IF(VLOOKUP($A52,Tabelle1!$A$4:$BU$73,61,0)&lt;&gt;"",BH$1,"")</f>
        <v/>
      </c>
      <c r="BI52" t="str">
        <f>IF(VLOOKUP($A52,Tabelle1!$A$4:$BU$73,62,0)&lt;&gt;"",BI$1,"")</f>
        <v/>
      </c>
      <c r="BJ52" t="str">
        <f>IF(VLOOKUP($A52,Tabelle1!$A$4:$BU$73,63,0)&lt;&gt;"",BJ$1,"")</f>
        <v/>
      </c>
      <c r="BK52" t="str">
        <f>IF(VLOOKUP($A52,Tabelle1!$A$4:$BU$73,64,0)&lt;&gt;"",BK$1,"")</f>
        <v/>
      </c>
      <c r="BL52" t="str">
        <f>IF(VLOOKUP($A52,Tabelle1!$A$4:$BU$73,65,0)&lt;&gt;"",BL$1,"")</f>
        <v/>
      </c>
      <c r="BM52" t="str">
        <f>IF(VLOOKUP($A52,Tabelle1!$A$4:$BU$73,66,0)&lt;&gt;"",BM$1,"")</f>
        <v/>
      </c>
      <c r="BN52" t="str">
        <f>IF(VLOOKUP($A52,Tabelle1!$A$4:$BU$73,67,0)&lt;&gt;"",BN$1,"")</f>
        <v/>
      </c>
      <c r="BO52" t="str">
        <f>IF(VLOOKUP($A52,Tabelle1!$A$4:$BU$73,68,0)&lt;&gt;"",BO$1,"")</f>
        <v/>
      </c>
      <c r="BP52" t="str">
        <f>IF(VLOOKUP($A52,Tabelle1!$A$4:$BU$73,69,0)&lt;&gt;"",BP$1,"")</f>
        <v/>
      </c>
      <c r="BQ52" t="str">
        <f>IF(VLOOKUP($A52,Tabelle1!$A$4:$BU$73,70,0)&lt;&gt;"",BQ$1,"")</f>
        <v/>
      </c>
      <c r="BR52" t="str">
        <f>IF(VLOOKUP($A52,Tabelle1!$A$4:$BU$73,71,0)&lt;&gt;"",BR$1,"")</f>
        <v/>
      </c>
      <c r="BS52" t="str">
        <f>IF(VLOOKUP($A52,Tabelle1!$A$4:$BU$73,72,0)&lt;&gt;"",BS$1,"")</f>
        <v/>
      </c>
      <c r="BT52" t="str">
        <f>IF(VLOOKUP($A52,Tabelle1!$A$4:$BU$73,73,0)&lt;&gt;"",BT$1,"")</f>
        <v/>
      </c>
    </row>
    <row r="53" spans="1:72" x14ac:dyDescent="0.2">
      <c r="A53" t="s">
        <v>506</v>
      </c>
      <c r="B53">
        <v>23</v>
      </c>
      <c r="C53">
        <v>3.51</v>
      </c>
      <c r="D53" t="str">
        <f>IF(VLOOKUP($A53,Tabelle1!$A$4:$BU$73,5,0)&lt;&gt;"",D$1,"")</f>
        <v xml:space="preserve">Abessinischer Senf </v>
      </c>
      <c r="E53" t="str">
        <f>IF(VLOOKUP($A53,Tabelle1!$A$4:$BU$73,6,0)&lt;&gt;"",E$1,"")</f>
        <v/>
      </c>
      <c r="F53" t="str">
        <f>IF(VLOOKUP($A53,Tabelle1!$A$4:$BU$73,7,0)&lt;&gt;"",F$1,"")</f>
        <v/>
      </c>
      <c r="G53" t="str">
        <f>IF(VLOOKUP($A53,Tabelle1!$A$4:$BU$73,8,0)&lt;&gt;"",G$1,"")</f>
        <v/>
      </c>
      <c r="H53" t="str">
        <f>IF(VLOOKUP($A53,Tabelle1!$A$4:$BU$73,9,0)&lt;&gt;"",H$1,"")</f>
        <v/>
      </c>
      <c r="I53" t="str">
        <f>IF(VLOOKUP($A53,Tabelle1!$A$4:$BU$73,10,0)&lt;&gt;"",I$1,"")</f>
        <v/>
      </c>
      <c r="J53" t="str">
        <f>IF(VLOOKUP($A53,Tabelle1!$A$4:$BU$73,11,0)&lt;&gt;"",J$1,"")</f>
        <v/>
      </c>
      <c r="K53" t="str">
        <f>IF(VLOOKUP($A53,Tabelle1!$A$4:$BU$73,12,0)&lt;&gt;"",K$1,"")</f>
        <v/>
      </c>
      <c r="L53" t="str">
        <f>IF(VLOOKUP($A53,Tabelle1!$A$4:$BU$73,13,0)&lt;&gt;"",L$1,"")</f>
        <v/>
      </c>
      <c r="M53" t="str">
        <f>IF(VLOOKUP($A53,Tabelle1!$A$4:$BU$73,14,0)&lt;&gt;"",M$1,"")</f>
        <v/>
      </c>
      <c r="N53" t="str">
        <f>IF(VLOOKUP($A53,Tabelle1!$A$4:$BU$73,15,0)&lt;&gt;"",N$1,"")</f>
        <v/>
      </c>
      <c r="O53" t="str">
        <f>IF(VLOOKUP($A53,Tabelle1!$A$4:$BU$73,16,0)&lt;&gt;"",O$1,"")</f>
        <v/>
      </c>
      <c r="P53" t="str">
        <f>IF(VLOOKUP($A53,Tabelle1!$A$4:$BU$73,17,0)&lt;&gt;"",P$1,"")</f>
        <v>Grünschnittroggen</v>
      </c>
      <c r="Q53" t="str">
        <f>IF(VLOOKUP($A53,Tabelle1!$A$4:$BU$73,18,0)&lt;&gt;"",Q$1,"")</f>
        <v/>
      </c>
      <c r="R53" t="str">
        <f>IF(VLOOKUP($A53,Tabelle1!$A$4:$BU$73,19,0)&lt;&gt;"",R$1,"")</f>
        <v/>
      </c>
      <c r="S53" t="str">
        <f>IF(VLOOKUP($A53,Tabelle1!$A$4:$BU$73,20,0)&lt;&gt;"",S$1,"")</f>
        <v/>
      </c>
      <c r="T53" t="str">
        <f>IF(VLOOKUP($A53,Tabelle1!$A$4:$BU$73,21,0)&lt;&gt;"",T$1,"")</f>
        <v>Inkarnatklee</v>
      </c>
      <c r="U53" t="str">
        <f>IF(VLOOKUP($A53,Tabelle1!$A$4:$BU$73,22,0)&lt;&gt;"",U$1,"")</f>
        <v/>
      </c>
      <c r="V53" t="str">
        <f>IF(VLOOKUP($A53,Tabelle1!$A$4:$BU$73,23,0)&lt;&gt;"",V$1,"")</f>
        <v/>
      </c>
      <c r="W53" t="str">
        <f>IF(VLOOKUP($A53,Tabelle1!$A$4:$BU$73,24,0)&lt;&gt;"",W$1,"")</f>
        <v/>
      </c>
      <c r="X53" t="str">
        <f>IF(VLOOKUP($A53,Tabelle1!$A$4:$BU$73,25,0)&lt;&gt;"",X$1,"")</f>
        <v/>
      </c>
      <c r="Y53" t="str">
        <f>IF(VLOOKUP($A53,Tabelle1!$A$4:$BU$73,26,0)&lt;&gt;"",Y$1,"")</f>
        <v>Leindotter</v>
      </c>
      <c r="Z53" t="str">
        <f>IF(VLOOKUP($A53,Tabelle1!$A$4:$BU$73,27,0)&lt;&gt;"",Z$1,"")</f>
        <v/>
      </c>
      <c r="AA53" t="str">
        <f>IF(VLOOKUP($A53,Tabelle1!$A$4:$BU$73,28,0)&lt;&gt;"",AA$1,"")</f>
        <v/>
      </c>
      <c r="AB53" t="str">
        <f>IF(VLOOKUP($A53,Tabelle1!$A$4:$BU$73,29,0)&lt;&gt;"",AB$1,"")</f>
        <v>Meliorationsrettich</v>
      </c>
      <c r="AC53" t="str">
        <f>IF(VLOOKUP($A53,Tabelle1!$A$4:$BU$73,30,0)&lt;&gt;"",AC$1,"")</f>
        <v/>
      </c>
      <c r="AD53" t="str">
        <f>IF(VLOOKUP($A53,Tabelle1!$A$4:$BU$73,31,0)&lt;&gt;"",AD$1,"")</f>
        <v>Öllein</v>
      </c>
      <c r="AE53" t="str">
        <f>IF(VLOOKUP($A53,Tabelle1!$A$4:$BU$73,32,0)&lt;&gt;"",AE$1,"")</f>
        <v/>
      </c>
      <c r="AF53" t="str">
        <f>IF(VLOOKUP($A53,Tabelle1!$A$4:$BU$73,33,0)&lt;&gt;"",AF$1,"")</f>
        <v/>
      </c>
      <c r="AG53" t="str">
        <f>IF(VLOOKUP($A53,Tabelle1!$A$4:$BU$73,34,0)&lt;&gt;"",AG$1,"")</f>
        <v/>
      </c>
      <c r="AH53" t="str">
        <f>IF(VLOOKUP($A53,Tabelle1!$A$4:$BU$73,35,0)&lt;&gt;"",AH$1,"")</f>
        <v/>
      </c>
      <c r="AI53" t="str">
        <f>IF(VLOOKUP($A53,Tabelle1!$A$4:$BU$73,36,0)&lt;&gt;"",AI$1,"")</f>
        <v/>
      </c>
      <c r="AJ53" t="str">
        <f>IF(VLOOKUP($A53,Tabelle1!$A$4:$BU$73,37,0)&lt;&gt;"",AJ$1,"")</f>
        <v/>
      </c>
      <c r="AK53" t="str">
        <f>IF(VLOOKUP($A53,Tabelle1!$A$4:$BU$73,38,0)&lt;&gt;"",AK$1,"")</f>
        <v/>
      </c>
      <c r="AL53" t="str">
        <f>IF(VLOOKUP($A53,Tabelle1!$A$4:$BU$73,39,0)&lt;&gt;"",AL$1,"")</f>
        <v/>
      </c>
      <c r="AM53" t="str">
        <f>IF(VLOOKUP($A53,Tabelle1!$A$4:$BU$73,40,0)&lt;&gt;"",AM$1,"")</f>
        <v/>
      </c>
      <c r="AN53" t="str">
        <f>IF(VLOOKUP($A53,Tabelle1!$A$4:$BU$73,41,0)&lt;&gt;"",AN$1,"")</f>
        <v/>
      </c>
      <c r="AO53" t="str">
        <f>IF(VLOOKUP($A53,Tabelle1!$A$4:$BU$73,42,0)&lt;&gt;"",AO$1,"")</f>
        <v>Sandhafer / Rauhafer</v>
      </c>
      <c r="AP53" t="str">
        <f>IF(VLOOKUP($A53,Tabelle1!$A$4:$BU$73,43,0)&lt;&gt;"",AP$1,"")</f>
        <v/>
      </c>
      <c r="AQ53" t="str">
        <f>IF(VLOOKUP($A53,Tabelle1!$A$4:$BU$73,44,0)&lt;&gt;"",AQ$1,"")</f>
        <v/>
      </c>
      <c r="AR53" t="str">
        <f>IF(VLOOKUP($A53,Tabelle1!$A$4:$BU$73,45,0)&lt;&gt;"",AR$1,"")</f>
        <v/>
      </c>
      <c r="AS53" t="str">
        <f>IF(VLOOKUP($A53,Tabelle1!$A$4:$BU$73,46,0)&lt;&gt;"",AS$1,"")</f>
        <v/>
      </c>
      <c r="AT53" t="str">
        <f>IF(VLOOKUP($A53,Tabelle1!$A$4:$BU$73,47,0)&lt;&gt;"",AT$1,"")</f>
        <v/>
      </c>
      <c r="AU53" t="str">
        <f>IF(VLOOKUP($A53,Tabelle1!$A$4:$BU$73,48,0)&lt;&gt;"",AU$1,"")</f>
        <v/>
      </c>
      <c r="AV53" t="str">
        <f>IF(VLOOKUP($A53,Tabelle1!$A$4:$BU$73,49,0)&lt;&gt;"",AV$1,"")</f>
        <v/>
      </c>
      <c r="AW53" t="str">
        <f>IF(VLOOKUP($A53,Tabelle1!$A$4:$BU$73,50,0)&lt;&gt;"",AW$1,"")</f>
        <v/>
      </c>
      <c r="AX53" t="str">
        <f>IF(VLOOKUP($A53,Tabelle1!$A$4:$BU$73,51,0)&lt;&gt;"",AX$1,"")</f>
        <v/>
      </c>
      <c r="AY53" t="str">
        <f>IF(VLOOKUP($A53,Tabelle1!$A$4:$BU$73,52,0)&lt;&gt;"",AY$1,"")</f>
        <v/>
      </c>
      <c r="AZ53" t="str">
        <f>IF(VLOOKUP($A53,Tabelle1!$A$4:$BU$73,53,0)&lt;&gt;"",AZ$1,"")</f>
        <v/>
      </c>
      <c r="BA53" t="str">
        <f>IF(VLOOKUP($A53,Tabelle1!$A$4:$BU$73,54,0)&lt;&gt;"",BA$1,"")</f>
        <v/>
      </c>
      <c r="BB53" t="str">
        <f>IF(VLOOKUP($A53,Tabelle1!$A$4:$BU$73,55,0)&lt;&gt;"",BB$1,"")</f>
        <v/>
      </c>
      <c r="BC53" t="str">
        <f>IF(VLOOKUP($A53,Tabelle1!$A$4:$BU$73,56,0)&lt;&gt;"",BC$1,"")</f>
        <v/>
      </c>
      <c r="BD53" t="str">
        <f>IF(VLOOKUP($A53,Tabelle1!$A$4:$BU$73,57,0)&lt;&gt;"",BD$1,"")</f>
        <v>Winterwicke Pannonisch</v>
      </c>
      <c r="BE53" t="str">
        <f>IF(VLOOKUP($A53,Tabelle1!$A$4:$BU$73,58,0)&lt;&gt;"",BE$1,"")</f>
        <v/>
      </c>
      <c r="BF53" t="str">
        <f>IF(VLOOKUP($A53,Tabelle1!$A$4:$BU$73,59,0)&lt;&gt;"",BF$1,"")</f>
        <v/>
      </c>
      <c r="BG53" t="str">
        <f>IF(VLOOKUP($A53,Tabelle1!$A$4:$BU$73,60,0)&lt;&gt;"",BG$1,"")</f>
        <v/>
      </c>
      <c r="BH53" t="str">
        <f>IF(VLOOKUP($A53,Tabelle1!$A$4:$BU$73,61,0)&lt;&gt;"",BH$1,"")</f>
        <v/>
      </c>
      <c r="BI53" t="str">
        <f>IF(VLOOKUP($A53,Tabelle1!$A$4:$BU$73,62,0)&lt;&gt;"",BI$1,"")</f>
        <v/>
      </c>
      <c r="BJ53" t="str">
        <f>IF(VLOOKUP($A53,Tabelle1!$A$4:$BU$73,63,0)&lt;&gt;"",BJ$1,"")</f>
        <v/>
      </c>
      <c r="BK53" t="str">
        <f>IF(VLOOKUP($A53,Tabelle1!$A$4:$BU$73,64,0)&lt;&gt;"",BK$1,"")</f>
        <v/>
      </c>
      <c r="BL53" t="str">
        <f>IF(VLOOKUP($A53,Tabelle1!$A$4:$BU$73,65,0)&lt;&gt;"",BL$1,"")</f>
        <v/>
      </c>
      <c r="BM53" t="str">
        <f>IF(VLOOKUP($A53,Tabelle1!$A$4:$BU$73,66,0)&lt;&gt;"",BM$1,"")</f>
        <v/>
      </c>
      <c r="BN53" t="str">
        <f>IF(VLOOKUP($A53,Tabelle1!$A$4:$BU$73,67,0)&lt;&gt;"",BN$1,"")</f>
        <v>Stoppelrübe</v>
      </c>
      <c r="BO53" t="str">
        <f>IF(VLOOKUP($A53,Tabelle1!$A$4:$BU$73,68,0)&lt;&gt;"",BO$1,"")</f>
        <v/>
      </c>
      <c r="BP53" t="str">
        <f>IF(VLOOKUP($A53,Tabelle1!$A$4:$BU$73,69,0)&lt;&gt;"",BP$1,"")</f>
        <v/>
      </c>
      <c r="BQ53" t="str">
        <f>IF(VLOOKUP($A53,Tabelle1!$A$4:$BU$73,70,0)&lt;&gt;"",BQ$1,"")</f>
        <v/>
      </c>
      <c r="BR53" t="str">
        <f>IF(VLOOKUP($A53,Tabelle1!$A$4:$BU$73,71,0)&lt;&gt;"",BR$1,"")</f>
        <v/>
      </c>
      <c r="BS53" t="str">
        <f>IF(VLOOKUP($A53,Tabelle1!$A$4:$BU$73,72,0)&lt;&gt;"",BS$1,"")</f>
        <v/>
      </c>
      <c r="BT53" t="str">
        <f>IF(VLOOKUP($A53,Tabelle1!$A$4:$BU$73,73,0)&lt;&gt;"",BT$1,"")</f>
        <v/>
      </c>
    </row>
    <row r="54" spans="1:72" x14ac:dyDescent="0.2">
      <c r="A54" t="s">
        <v>511</v>
      </c>
      <c r="B54">
        <v>28</v>
      </c>
      <c r="C54">
        <v>3.36</v>
      </c>
      <c r="D54" t="str">
        <f>IF(VLOOKUP($A54,Tabelle1!$A$4:$BU$73,5,0)&lt;&gt;"",D$1,"")</f>
        <v/>
      </c>
      <c r="E54" t="str">
        <f>IF(VLOOKUP($A54,Tabelle1!$A$4:$BU$73,6,0)&lt;&gt;"",E$1,"")</f>
        <v/>
      </c>
      <c r="F54" t="str">
        <f>IF(VLOOKUP($A54,Tabelle1!$A$4:$BU$73,7,0)&lt;&gt;"",F$1,"")</f>
        <v/>
      </c>
      <c r="G54" t="str">
        <f>IF(VLOOKUP($A54,Tabelle1!$A$4:$BU$73,8,0)&lt;&gt;"",G$1,"")</f>
        <v/>
      </c>
      <c r="H54" t="str">
        <f>IF(VLOOKUP($A54,Tabelle1!$A$4:$BU$73,9,0)&lt;&gt;"",H$1,"")</f>
        <v/>
      </c>
      <c r="I54" t="str">
        <f>IF(VLOOKUP($A54,Tabelle1!$A$4:$BU$73,10,0)&lt;&gt;"",I$1,"")</f>
        <v/>
      </c>
      <c r="J54" t="str">
        <f>IF(VLOOKUP($A54,Tabelle1!$A$4:$BU$73,11,0)&lt;&gt;"",J$1,"")</f>
        <v/>
      </c>
      <c r="K54" t="str">
        <f>IF(VLOOKUP($A54,Tabelle1!$A$4:$BU$73,12,0)&lt;&gt;"",K$1,"")</f>
        <v/>
      </c>
      <c r="L54" t="str">
        <f>IF(VLOOKUP($A54,Tabelle1!$A$4:$BU$73,13,0)&lt;&gt;"",L$1,"")</f>
        <v/>
      </c>
      <c r="M54" t="str">
        <f>IF(VLOOKUP($A54,Tabelle1!$A$4:$BU$73,14,0)&lt;&gt;"",M$1,"")</f>
        <v/>
      </c>
      <c r="N54" t="str">
        <f>IF(VLOOKUP($A54,Tabelle1!$A$4:$BU$73,15,0)&lt;&gt;"",N$1,"")</f>
        <v/>
      </c>
      <c r="O54" t="str">
        <f>IF(VLOOKUP($A54,Tabelle1!$A$4:$BU$73,16,0)&lt;&gt;"",O$1,"")</f>
        <v/>
      </c>
      <c r="P54" t="str">
        <f>IF(VLOOKUP($A54,Tabelle1!$A$4:$BU$73,17,0)&lt;&gt;"",P$1,"")</f>
        <v/>
      </c>
      <c r="Q54" t="str">
        <f>IF(VLOOKUP($A54,Tabelle1!$A$4:$BU$73,18,0)&lt;&gt;"",Q$1,"")</f>
        <v/>
      </c>
      <c r="R54" t="str">
        <f>IF(VLOOKUP($A54,Tabelle1!$A$4:$BU$73,19,0)&lt;&gt;"",R$1,"")</f>
        <v>Hirse</v>
      </c>
      <c r="S54" t="str">
        <f>IF(VLOOKUP($A54,Tabelle1!$A$4:$BU$73,20,0)&lt;&gt;"",S$1,"")</f>
        <v/>
      </c>
      <c r="T54" t="str">
        <f>IF(VLOOKUP($A54,Tabelle1!$A$4:$BU$73,21,0)&lt;&gt;"",T$1,"")</f>
        <v/>
      </c>
      <c r="U54" t="str">
        <f>IF(VLOOKUP($A54,Tabelle1!$A$4:$BU$73,22,0)&lt;&gt;"",U$1,"")</f>
        <v/>
      </c>
      <c r="V54" t="str">
        <f>IF(VLOOKUP($A54,Tabelle1!$A$4:$BU$73,23,0)&lt;&gt;"",V$1,"")</f>
        <v/>
      </c>
      <c r="W54" t="str">
        <f>IF(VLOOKUP($A54,Tabelle1!$A$4:$BU$73,24,0)&lt;&gt;"",W$1,"")</f>
        <v/>
      </c>
      <c r="X54" t="str">
        <f>IF(VLOOKUP($A54,Tabelle1!$A$4:$BU$73,25,0)&lt;&gt;"",X$1,"")</f>
        <v/>
      </c>
      <c r="Y54" t="str">
        <f>IF(VLOOKUP($A54,Tabelle1!$A$4:$BU$73,26,0)&lt;&gt;"",Y$1,"")</f>
        <v/>
      </c>
      <c r="Z54" t="str">
        <f>IF(VLOOKUP($A54,Tabelle1!$A$4:$BU$73,27,0)&lt;&gt;"",Z$1,"")</f>
        <v/>
      </c>
      <c r="AA54" t="str">
        <f>IF(VLOOKUP($A54,Tabelle1!$A$4:$BU$73,28,0)&lt;&gt;"",AA$1,"")</f>
        <v/>
      </c>
      <c r="AB54" t="str">
        <f>IF(VLOOKUP($A54,Tabelle1!$A$4:$BU$73,29,0)&lt;&gt;"",AB$1,"")</f>
        <v/>
      </c>
      <c r="AC54" t="str">
        <f>IF(VLOOKUP($A54,Tabelle1!$A$4:$BU$73,30,0)&lt;&gt;"",AC$1,"")</f>
        <v>Schwarzsamen/Ramtilkraut/Gingellikraut/Mungo</v>
      </c>
      <c r="AD54" t="str">
        <f>IF(VLOOKUP($A54,Tabelle1!$A$4:$BU$73,31,0)&lt;&gt;"",AD$1,"")</f>
        <v>Öllein</v>
      </c>
      <c r="AE54" t="str">
        <f>IF(VLOOKUP($A54,Tabelle1!$A$4:$BU$73,32,0)&lt;&gt;"",AE$1,"")</f>
        <v/>
      </c>
      <c r="AF54" t="str">
        <f>IF(VLOOKUP($A54,Tabelle1!$A$4:$BU$73,33,0)&lt;&gt;"",AF$1,"")</f>
        <v/>
      </c>
      <c r="AG54" t="str">
        <f>IF(VLOOKUP($A54,Tabelle1!$A$4:$BU$73,34,0)&lt;&gt;"",AG$1,"")</f>
        <v/>
      </c>
      <c r="AH54" t="str">
        <f>IF(VLOOKUP($A54,Tabelle1!$A$4:$BU$73,35,0)&lt;&gt;"",AH$1,"")</f>
        <v>Phazelie</v>
      </c>
      <c r="AI54" t="str">
        <f>IF(VLOOKUP($A54,Tabelle1!$A$4:$BU$73,36,0)&lt;&gt;"",AI$1,"")</f>
        <v/>
      </c>
      <c r="AJ54" t="str">
        <f>IF(VLOOKUP($A54,Tabelle1!$A$4:$BU$73,37,0)&lt;&gt;"",AJ$1,"")</f>
        <v/>
      </c>
      <c r="AK54" t="str">
        <f>IF(VLOOKUP($A54,Tabelle1!$A$4:$BU$73,38,0)&lt;&gt;"",AK$1,"")</f>
        <v/>
      </c>
      <c r="AL54" t="str">
        <f>IF(VLOOKUP($A54,Tabelle1!$A$4:$BU$73,39,0)&lt;&gt;"",AL$1,"")</f>
        <v/>
      </c>
      <c r="AM54" t="str">
        <f>IF(VLOOKUP($A54,Tabelle1!$A$4:$BU$73,40,0)&lt;&gt;"",AM$1,"")</f>
        <v/>
      </c>
      <c r="AN54" t="str">
        <f>IF(VLOOKUP($A54,Tabelle1!$A$4:$BU$73,41,0)&lt;&gt;"",AN$1,"")</f>
        <v/>
      </c>
      <c r="AO54" t="str">
        <f>IF(VLOOKUP($A54,Tabelle1!$A$4:$BU$73,42,0)&lt;&gt;"",AO$1,"")</f>
        <v>Sandhafer / Rauhafer</v>
      </c>
      <c r="AP54" t="str">
        <f>IF(VLOOKUP($A54,Tabelle1!$A$4:$BU$73,43,0)&lt;&gt;"",AP$1,"")</f>
        <v/>
      </c>
      <c r="AQ54" t="str">
        <f>IF(VLOOKUP($A54,Tabelle1!$A$4:$BU$73,44,0)&lt;&gt;"",AQ$1,"")</f>
        <v/>
      </c>
      <c r="AR54" t="str">
        <f>IF(VLOOKUP($A54,Tabelle1!$A$4:$BU$73,45,0)&lt;&gt;"",AR$1,"")</f>
        <v/>
      </c>
      <c r="AS54" t="str">
        <f>IF(VLOOKUP($A54,Tabelle1!$A$4:$BU$73,46,0)&lt;&gt;"",AS$1,"")</f>
        <v/>
      </c>
      <c r="AT54" t="str">
        <f>IF(VLOOKUP($A54,Tabelle1!$A$4:$BU$73,47,0)&lt;&gt;"",AT$1,"")</f>
        <v/>
      </c>
      <c r="AU54" t="str">
        <f>IF(VLOOKUP($A54,Tabelle1!$A$4:$BU$73,48,0)&lt;&gt;"",AU$1,"")</f>
        <v>Sonnenblume</v>
      </c>
      <c r="AV54" t="str">
        <f>IF(VLOOKUP($A54,Tabelle1!$A$4:$BU$73,49,0)&lt;&gt;"",AV$1,"")</f>
        <v/>
      </c>
      <c r="AW54" t="str">
        <f>IF(VLOOKUP($A54,Tabelle1!$A$4:$BU$73,50,0)&lt;&gt;"",AW$1,"")</f>
        <v/>
      </c>
      <c r="AX54" t="str">
        <f>IF(VLOOKUP($A54,Tabelle1!$A$4:$BU$73,51,0)&lt;&gt;"",AX$1,"")</f>
        <v/>
      </c>
      <c r="AY54" t="str">
        <f>IF(VLOOKUP($A54,Tabelle1!$A$4:$BU$73,52,0)&lt;&gt;"",AY$1,"")</f>
        <v/>
      </c>
      <c r="AZ54" t="str">
        <f>IF(VLOOKUP($A54,Tabelle1!$A$4:$BU$73,53,0)&lt;&gt;"",AZ$1,"")</f>
        <v/>
      </c>
      <c r="BA54" t="str">
        <f>IF(VLOOKUP($A54,Tabelle1!$A$4:$BU$73,54,0)&lt;&gt;"",BA$1,"")</f>
        <v/>
      </c>
      <c r="BB54" t="str">
        <f>IF(VLOOKUP($A54,Tabelle1!$A$4:$BU$73,55,0)&lt;&gt;"",BB$1,"")</f>
        <v/>
      </c>
      <c r="BC54" t="str">
        <f>IF(VLOOKUP($A54,Tabelle1!$A$4:$BU$73,56,0)&lt;&gt;"",BC$1,"")</f>
        <v/>
      </c>
      <c r="BD54" t="str">
        <f>IF(VLOOKUP($A54,Tabelle1!$A$4:$BU$73,57,0)&lt;&gt;"",BD$1,"")</f>
        <v/>
      </c>
      <c r="BE54" t="str">
        <f>IF(VLOOKUP($A54,Tabelle1!$A$4:$BU$73,58,0)&lt;&gt;"",BE$1,"")</f>
        <v/>
      </c>
      <c r="BF54" t="str">
        <f>IF(VLOOKUP($A54,Tabelle1!$A$4:$BU$73,59,0)&lt;&gt;"",BF$1,"")</f>
        <v/>
      </c>
      <c r="BG54" t="str">
        <f>IF(VLOOKUP($A54,Tabelle1!$A$4:$BU$73,60,0)&lt;&gt;"",BG$1,"")</f>
        <v/>
      </c>
      <c r="BH54" t="str">
        <f>IF(VLOOKUP($A54,Tabelle1!$A$4:$BU$73,61,0)&lt;&gt;"",BH$1,"")</f>
        <v/>
      </c>
      <c r="BI54" t="str">
        <f>IF(VLOOKUP($A54,Tabelle1!$A$4:$BU$73,62,0)&lt;&gt;"",BI$1,"")</f>
        <v/>
      </c>
      <c r="BJ54" t="str">
        <f>IF(VLOOKUP($A54,Tabelle1!$A$4:$BU$73,63,0)&lt;&gt;"",BJ$1,"")</f>
        <v/>
      </c>
      <c r="BK54" t="str">
        <f>IF(VLOOKUP($A54,Tabelle1!$A$4:$BU$73,64,0)&lt;&gt;"",BK$1,"")</f>
        <v/>
      </c>
      <c r="BL54" t="str">
        <f>IF(VLOOKUP($A54,Tabelle1!$A$4:$BU$73,65,0)&lt;&gt;"",BL$1,"")</f>
        <v/>
      </c>
      <c r="BM54" t="str">
        <f>IF(VLOOKUP($A54,Tabelle1!$A$4:$BU$73,66,0)&lt;&gt;"",BM$1,"")</f>
        <v/>
      </c>
      <c r="BN54" t="str">
        <f>IF(VLOOKUP($A54,Tabelle1!$A$4:$BU$73,67,0)&lt;&gt;"",BN$1,"")</f>
        <v/>
      </c>
      <c r="BO54" t="str">
        <f>IF(VLOOKUP($A54,Tabelle1!$A$4:$BU$73,68,0)&lt;&gt;"",BO$1,"")</f>
        <v/>
      </c>
      <c r="BP54" t="str">
        <f>IF(VLOOKUP($A54,Tabelle1!$A$4:$BU$73,69,0)&lt;&gt;"",BP$1,"")</f>
        <v/>
      </c>
      <c r="BQ54" t="str">
        <f>IF(VLOOKUP($A54,Tabelle1!$A$4:$BU$73,70,0)&lt;&gt;"",BQ$1,"")</f>
        <v/>
      </c>
      <c r="BR54" t="str">
        <f>IF(VLOOKUP($A54,Tabelle1!$A$4:$BU$73,71,0)&lt;&gt;"",BR$1,"")</f>
        <v/>
      </c>
      <c r="BS54" t="str">
        <f>IF(VLOOKUP($A54,Tabelle1!$A$4:$BU$73,72,0)&lt;&gt;"",BS$1,"")</f>
        <v/>
      </c>
      <c r="BT54" t="str">
        <f>IF(VLOOKUP($A54,Tabelle1!$A$4:$BU$73,73,0)&lt;&gt;"",BT$1,"")</f>
        <v/>
      </c>
    </row>
    <row r="55" spans="1:72" x14ac:dyDescent="0.2">
      <c r="A55" t="s">
        <v>709</v>
      </c>
      <c r="B55">
        <v>23</v>
      </c>
      <c r="C55">
        <v>3.27</v>
      </c>
      <c r="D55" t="str">
        <f>IF(VLOOKUP($A55,Tabelle1!$A$4:$BU$73,5,0)&lt;&gt;"",D$1,"")</f>
        <v/>
      </c>
      <c r="E55" t="str">
        <f>IF(VLOOKUP($A55,Tabelle1!$A$4:$BU$73,6,0)&lt;&gt;"",E$1,"")</f>
        <v/>
      </c>
      <c r="F55" t="str">
        <f>IF(VLOOKUP($A55,Tabelle1!$A$4:$BU$73,7,0)&lt;&gt;"",F$1,"")</f>
        <v/>
      </c>
      <c r="G55" t="str">
        <f>IF(VLOOKUP($A55,Tabelle1!$A$4:$BU$73,8,0)&lt;&gt;"",G$1,"")</f>
        <v/>
      </c>
      <c r="H55" t="str">
        <f>IF(VLOOKUP($A55,Tabelle1!$A$4:$BU$73,9,0)&lt;&gt;"",H$1,"")</f>
        <v/>
      </c>
      <c r="I55" t="str">
        <f>IF(VLOOKUP($A55,Tabelle1!$A$4:$BU$73,10,0)&lt;&gt;"",I$1,"")</f>
        <v xml:space="preserve">Buchweizen </v>
      </c>
      <c r="J55" t="str">
        <f>IF(VLOOKUP($A55,Tabelle1!$A$4:$BU$73,11,0)&lt;&gt;"",J$1,"")</f>
        <v/>
      </c>
      <c r="K55" t="str">
        <f>IF(VLOOKUP($A55,Tabelle1!$A$4:$BU$73,12,0)&lt;&gt;"",K$1,"")</f>
        <v/>
      </c>
      <c r="L55" t="str">
        <f>IF(VLOOKUP($A55,Tabelle1!$A$4:$BU$73,13,0)&lt;&gt;"",L$1,"")</f>
        <v/>
      </c>
      <c r="M55" t="str">
        <f>IF(VLOOKUP($A55,Tabelle1!$A$4:$BU$73,14,0)&lt;&gt;"",M$1,"")</f>
        <v/>
      </c>
      <c r="N55" t="str">
        <f>IF(VLOOKUP($A55,Tabelle1!$A$4:$BU$73,15,0)&lt;&gt;"",N$1,"")</f>
        <v/>
      </c>
      <c r="O55" t="str">
        <f>IF(VLOOKUP($A55,Tabelle1!$A$4:$BU$73,16,0)&lt;&gt;"",O$1,"")</f>
        <v/>
      </c>
      <c r="P55" t="str">
        <f>IF(VLOOKUP($A55,Tabelle1!$A$4:$BU$73,17,0)&lt;&gt;"",P$1,"")</f>
        <v/>
      </c>
      <c r="Q55" t="str">
        <f>IF(VLOOKUP($A55,Tabelle1!$A$4:$BU$73,18,0)&lt;&gt;"",Q$1,"")</f>
        <v/>
      </c>
      <c r="R55" t="str">
        <f>IF(VLOOKUP($A55,Tabelle1!$A$4:$BU$73,19,0)&lt;&gt;"",R$1,"")</f>
        <v/>
      </c>
      <c r="S55" t="str">
        <f>IF(VLOOKUP($A55,Tabelle1!$A$4:$BU$73,20,0)&lt;&gt;"",S$1,"")</f>
        <v/>
      </c>
      <c r="T55" t="str">
        <f>IF(VLOOKUP($A55,Tabelle1!$A$4:$BU$73,21,0)&lt;&gt;"",T$1,"")</f>
        <v/>
      </c>
      <c r="U55" t="str">
        <f>IF(VLOOKUP($A55,Tabelle1!$A$4:$BU$73,22,0)&lt;&gt;"",U$1,"")</f>
        <v/>
      </c>
      <c r="V55" t="str">
        <f>IF(VLOOKUP($A55,Tabelle1!$A$4:$BU$73,23,0)&lt;&gt;"",V$1,"")</f>
        <v/>
      </c>
      <c r="W55" t="str">
        <f>IF(VLOOKUP($A55,Tabelle1!$A$4:$BU$73,24,0)&lt;&gt;"",W$1,"")</f>
        <v/>
      </c>
      <c r="X55" t="str">
        <f>IF(VLOOKUP($A55,Tabelle1!$A$4:$BU$73,25,0)&lt;&gt;"",X$1,"")</f>
        <v/>
      </c>
      <c r="Y55" t="str">
        <f>IF(VLOOKUP($A55,Tabelle1!$A$4:$BU$73,26,0)&lt;&gt;"",Y$1,"")</f>
        <v>Leindotter</v>
      </c>
      <c r="Z55" t="str">
        <f>IF(VLOOKUP($A55,Tabelle1!$A$4:$BU$73,27,0)&lt;&gt;"",Z$1,"")</f>
        <v/>
      </c>
      <c r="AA55" t="str">
        <f>IF(VLOOKUP($A55,Tabelle1!$A$4:$BU$73,28,0)&lt;&gt;"",AA$1,"")</f>
        <v/>
      </c>
      <c r="AB55" t="str">
        <f>IF(VLOOKUP($A55,Tabelle1!$A$4:$BU$73,29,0)&lt;&gt;"",AB$1,"")</f>
        <v>Meliorationsrettich</v>
      </c>
      <c r="AC55" t="str">
        <f>IF(VLOOKUP($A55,Tabelle1!$A$4:$BU$73,30,0)&lt;&gt;"",AC$1,"")</f>
        <v>Schwarzsamen/Ramtilkraut/Gingellikraut/Mungo</v>
      </c>
      <c r="AD55" t="str">
        <f>IF(VLOOKUP($A55,Tabelle1!$A$4:$BU$73,31,0)&lt;&gt;"",AD$1,"")</f>
        <v>Öllein</v>
      </c>
      <c r="AE55" t="str">
        <f>IF(VLOOKUP($A55,Tabelle1!$A$4:$BU$73,32,0)&lt;&gt;"",AE$1,"")</f>
        <v/>
      </c>
      <c r="AF55" t="str">
        <f>IF(VLOOKUP($A55,Tabelle1!$A$4:$BU$73,33,0)&lt;&gt;"",AF$1,"")</f>
        <v/>
      </c>
      <c r="AG55" t="str">
        <f>IF(VLOOKUP($A55,Tabelle1!$A$4:$BU$73,34,0)&lt;&gt;"",AG$1,"")</f>
        <v/>
      </c>
      <c r="AH55" t="str">
        <f>IF(VLOOKUP($A55,Tabelle1!$A$4:$BU$73,35,0)&lt;&gt;"",AH$1,"")</f>
        <v>Phazelie</v>
      </c>
      <c r="AI55" t="str">
        <f>IF(VLOOKUP($A55,Tabelle1!$A$4:$BU$73,36,0)&lt;&gt;"",AI$1,"")</f>
        <v/>
      </c>
      <c r="AJ55" t="str">
        <f>IF(VLOOKUP($A55,Tabelle1!$A$4:$BU$73,37,0)&lt;&gt;"",AJ$1,"")</f>
        <v/>
      </c>
      <c r="AK55" t="str">
        <f>IF(VLOOKUP($A55,Tabelle1!$A$4:$BU$73,38,0)&lt;&gt;"",AK$1,"")</f>
        <v/>
      </c>
      <c r="AL55" t="str">
        <f>IF(VLOOKUP($A55,Tabelle1!$A$4:$BU$73,39,0)&lt;&gt;"",AL$1,"")</f>
        <v/>
      </c>
      <c r="AM55" t="str">
        <f>IF(VLOOKUP($A55,Tabelle1!$A$4:$BU$73,40,0)&lt;&gt;"",AM$1,"")</f>
        <v/>
      </c>
      <c r="AN55" t="str">
        <f>IF(VLOOKUP($A55,Tabelle1!$A$4:$BU$73,41,0)&lt;&gt;"",AN$1,"")</f>
        <v/>
      </c>
      <c r="AO55" t="str">
        <f>IF(VLOOKUP($A55,Tabelle1!$A$4:$BU$73,42,0)&lt;&gt;"",AO$1,"")</f>
        <v>Sandhafer / Rauhafer</v>
      </c>
      <c r="AP55" t="str">
        <f>IF(VLOOKUP($A55,Tabelle1!$A$4:$BU$73,43,0)&lt;&gt;"",AP$1,"")</f>
        <v/>
      </c>
      <c r="AQ55" t="str">
        <f>IF(VLOOKUP($A55,Tabelle1!$A$4:$BU$73,44,0)&lt;&gt;"",AQ$1,"")</f>
        <v/>
      </c>
      <c r="AR55" t="str">
        <f>IF(VLOOKUP($A55,Tabelle1!$A$4:$BU$73,45,0)&lt;&gt;"",AR$1,"")</f>
        <v>Senf</v>
      </c>
      <c r="AS55" t="str">
        <f>IF(VLOOKUP($A55,Tabelle1!$A$4:$BU$73,46,0)&lt;&gt;"",AS$1,"")</f>
        <v/>
      </c>
      <c r="AT55" t="str">
        <f>IF(VLOOKUP($A55,Tabelle1!$A$4:$BU$73,47,0)&lt;&gt;"",AT$1,"")</f>
        <v/>
      </c>
      <c r="AU55" t="str">
        <f>IF(VLOOKUP($A55,Tabelle1!$A$4:$BU$73,48,0)&lt;&gt;"",AU$1,"")</f>
        <v>Sonnenblume</v>
      </c>
      <c r="AV55" t="str">
        <f>IF(VLOOKUP($A55,Tabelle1!$A$4:$BU$73,49,0)&lt;&gt;"",AV$1,"")</f>
        <v/>
      </c>
      <c r="AW55" t="str">
        <f>IF(VLOOKUP($A55,Tabelle1!$A$4:$BU$73,50,0)&lt;&gt;"",AW$1,"")</f>
        <v/>
      </c>
      <c r="AX55" t="str">
        <f>IF(VLOOKUP($A55,Tabelle1!$A$4:$BU$73,51,0)&lt;&gt;"",AX$1,"")</f>
        <v/>
      </c>
      <c r="AY55" t="str">
        <f>IF(VLOOKUP($A55,Tabelle1!$A$4:$BU$73,52,0)&lt;&gt;"",AY$1,"")</f>
        <v/>
      </c>
      <c r="AZ55" t="str">
        <f>IF(VLOOKUP($A55,Tabelle1!$A$4:$BU$73,53,0)&lt;&gt;"",AZ$1,"")</f>
        <v/>
      </c>
      <c r="BA55" t="str">
        <f>IF(VLOOKUP($A55,Tabelle1!$A$4:$BU$73,54,0)&lt;&gt;"",BA$1,"")</f>
        <v/>
      </c>
      <c r="BB55" t="str">
        <f>IF(VLOOKUP($A55,Tabelle1!$A$4:$BU$73,55,0)&lt;&gt;"",BB$1,"")</f>
        <v/>
      </c>
      <c r="BC55" t="str">
        <f>IF(VLOOKUP($A55,Tabelle1!$A$4:$BU$73,56,0)&lt;&gt;"",BC$1,"")</f>
        <v/>
      </c>
      <c r="BD55" t="str">
        <f>IF(VLOOKUP($A55,Tabelle1!$A$4:$BU$73,57,0)&lt;&gt;"",BD$1,"")</f>
        <v/>
      </c>
      <c r="BE55" t="str">
        <f>IF(VLOOKUP($A55,Tabelle1!$A$4:$BU$73,58,0)&lt;&gt;"",BE$1,"")</f>
        <v/>
      </c>
      <c r="BF55" t="str">
        <f>IF(VLOOKUP($A55,Tabelle1!$A$4:$BU$73,59,0)&lt;&gt;"",BF$1,"")</f>
        <v/>
      </c>
      <c r="BG55" t="str">
        <f>IF(VLOOKUP($A55,Tabelle1!$A$4:$BU$73,60,0)&lt;&gt;"",BG$1,"")</f>
        <v/>
      </c>
      <c r="BH55" t="str">
        <f>IF(VLOOKUP($A55,Tabelle1!$A$4:$BU$73,61,0)&lt;&gt;"",BH$1,"")</f>
        <v/>
      </c>
      <c r="BI55" t="str">
        <f>IF(VLOOKUP($A55,Tabelle1!$A$4:$BU$73,62,0)&lt;&gt;"",BI$1,"")</f>
        <v/>
      </c>
      <c r="BJ55" t="str">
        <f>IF(VLOOKUP($A55,Tabelle1!$A$4:$BU$73,63,0)&lt;&gt;"",BJ$1,"")</f>
        <v/>
      </c>
      <c r="BK55" t="str">
        <f>IF(VLOOKUP($A55,Tabelle1!$A$4:$BU$73,64,0)&lt;&gt;"",BK$1,"")</f>
        <v/>
      </c>
      <c r="BL55" t="str">
        <f>IF(VLOOKUP($A55,Tabelle1!$A$4:$BU$73,65,0)&lt;&gt;"",BL$1,"")</f>
        <v/>
      </c>
      <c r="BM55" t="str">
        <f>IF(VLOOKUP($A55,Tabelle1!$A$4:$BU$73,66,0)&lt;&gt;"",BM$1,"")</f>
        <v/>
      </c>
      <c r="BN55" t="str">
        <f>IF(VLOOKUP($A55,Tabelle1!$A$4:$BU$73,67,0)&lt;&gt;"",BN$1,"")</f>
        <v/>
      </c>
      <c r="BO55" t="str">
        <f>IF(VLOOKUP($A55,Tabelle1!$A$4:$BU$73,68,0)&lt;&gt;"",BO$1,"")</f>
        <v/>
      </c>
      <c r="BP55" t="str">
        <f>IF(VLOOKUP($A55,Tabelle1!$A$4:$BU$73,69,0)&lt;&gt;"",BP$1,"")</f>
        <v/>
      </c>
      <c r="BQ55" t="str">
        <f>IF(VLOOKUP($A55,Tabelle1!$A$4:$BU$73,70,0)&lt;&gt;"",BQ$1,"")</f>
        <v/>
      </c>
      <c r="BR55" t="str">
        <f>IF(VLOOKUP($A55,Tabelle1!$A$4:$BU$73,71,0)&lt;&gt;"",BR$1,"")</f>
        <v/>
      </c>
      <c r="BS55" t="str">
        <f>IF(VLOOKUP($A55,Tabelle1!$A$4:$BU$73,72,0)&lt;&gt;"",BS$1,"")</f>
        <v/>
      </c>
      <c r="BT55" t="str">
        <f>IF(VLOOKUP($A55,Tabelle1!$A$4:$BU$73,73,0)&lt;&gt;"",BT$1,"")</f>
        <v/>
      </c>
    </row>
    <row r="56" spans="1:72" x14ac:dyDescent="0.2">
      <c r="A56" t="s">
        <v>349</v>
      </c>
      <c r="B56">
        <v>25</v>
      </c>
      <c r="C56">
        <v>3.31</v>
      </c>
      <c r="D56" t="str">
        <f>IF(VLOOKUP($A56,Tabelle1!$A$4:$BU$73,5,0)&lt;&gt;"",D$1,"")</f>
        <v xml:space="preserve">Abessinischer Senf </v>
      </c>
      <c r="E56" t="str">
        <f>IF(VLOOKUP($A56,Tabelle1!$A$4:$BU$73,6,0)&lt;&gt;"",E$1,"")</f>
        <v/>
      </c>
      <c r="F56" t="str">
        <f>IF(VLOOKUP($A56,Tabelle1!$A$4:$BU$73,7,0)&lt;&gt;"",F$1,"")</f>
        <v>Alexandrinerklee</v>
      </c>
      <c r="G56" t="str">
        <f>IF(VLOOKUP($A56,Tabelle1!$A$4:$BU$73,8,0)&lt;&gt;"",G$1,"")</f>
        <v/>
      </c>
      <c r="H56" t="str">
        <f>IF(VLOOKUP($A56,Tabelle1!$A$4:$BU$73,9,0)&lt;&gt;"",H$1,"")</f>
        <v/>
      </c>
      <c r="I56" t="str">
        <f>IF(VLOOKUP($A56,Tabelle1!$A$4:$BU$73,10,0)&lt;&gt;"",I$1,"")</f>
        <v/>
      </c>
      <c r="J56" t="str">
        <f>IF(VLOOKUP($A56,Tabelle1!$A$4:$BU$73,11,0)&lt;&gt;"",J$1,"")</f>
        <v/>
      </c>
      <c r="K56" t="str">
        <f>IF(VLOOKUP($A56,Tabelle1!$A$4:$BU$73,12,0)&lt;&gt;"",K$1,"")</f>
        <v/>
      </c>
      <c r="L56" t="str">
        <f>IF(VLOOKUP($A56,Tabelle1!$A$4:$BU$73,13,0)&lt;&gt;"",L$1,"")</f>
        <v/>
      </c>
      <c r="M56" t="str">
        <f>IF(VLOOKUP($A56,Tabelle1!$A$4:$BU$73,14,0)&lt;&gt;"",M$1,"")</f>
        <v>Futtererbse</v>
      </c>
      <c r="N56" t="str">
        <f>IF(VLOOKUP($A56,Tabelle1!$A$4:$BU$73,15,0)&lt;&gt;"",N$1,"")</f>
        <v/>
      </c>
      <c r="O56" t="str">
        <f>IF(VLOOKUP($A56,Tabelle1!$A$4:$BU$73,16,0)&lt;&gt;"",O$1,"")</f>
        <v/>
      </c>
      <c r="P56" t="str">
        <f>IF(VLOOKUP($A56,Tabelle1!$A$4:$BU$73,17,0)&lt;&gt;"",P$1,"")</f>
        <v/>
      </c>
      <c r="Q56" t="str">
        <f>IF(VLOOKUP($A56,Tabelle1!$A$4:$BU$73,18,0)&lt;&gt;"",Q$1,"")</f>
        <v/>
      </c>
      <c r="R56" t="str">
        <f>IF(VLOOKUP($A56,Tabelle1!$A$4:$BU$73,19,0)&lt;&gt;"",R$1,"")</f>
        <v>Hirse</v>
      </c>
      <c r="S56" t="str">
        <f>IF(VLOOKUP($A56,Tabelle1!$A$4:$BU$73,20,0)&lt;&gt;"",S$1,"")</f>
        <v/>
      </c>
      <c r="T56" t="str">
        <f>IF(VLOOKUP($A56,Tabelle1!$A$4:$BU$73,21,0)&lt;&gt;"",T$1,"")</f>
        <v/>
      </c>
      <c r="U56" t="str">
        <f>IF(VLOOKUP($A56,Tabelle1!$A$4:$BU$73,22,0)&lt;&gt;"",U$1,"")</f>
        <v/>
      </c>
      <c r="V56" t="str">
        <f>IF(VLOOKUP($A56,Tabelle1!$A$4:$BU$73,23,0)&lt;&gt;"",V$1,"")</f>
        <v/>
      </c>
      <c r="W56" t="str">
        <f>IF(VLOOKUP($A56,Tabelle1!$A$4:$BU$73,24,0)&lt;&gt;"",W$1,"")</f>
        <v/>
      </c>
      <c r="X56" t="str">
        <f>IF(VLOOKUP($A56,Tabelle1!$A$4:$BU$73,25,0)&lt;&gt;"",X$1,"")</f>
        <v/>
      </c>
      <c r="Y56" t="str">
        <f>IF(VLOOKUP($A56,Tabelle1!$A$4:$BU$73,26,0)&lt;&gt;"",Y$1,"")</f>
        <v>Leindotter</v>
      </c>
      <c r="Z56" t="str">
        <f>IF(VLOOKUP($A56,Tabelle1!$A$4:$BU$73,27,0)&lt;&gt;"",Z$1,"")</f>
        <v/>
      </c>
      <c r="AA56" t="str">
        <f>IF(VLOOKUP($A56,Tabelle1!$A$4:$BU$73,28,0)&lt;&gt;"",AA$1,"")</f>
        <v/>
      </c>
      <c r="AB56" t="str">
        <f>IF(VLOOKUP($A56,Tabelle1!$A$4:$BU$73,29,0)&lt;&gt;"",AB$1,"")</f>
        <v>Meliorationsrettich</v>
      </c>
      <c r="AC56" t="str">
        <f>IF(VLOOKUP($A56,Tabelle1!$A$4:$BU$73,30,0)&lt;&gt;"",AC$1,"")</f>
        <v>Schwarzsamen/Ramtilkraut/Gingellikraut/Mungo</v>
      </c>
      <c r="AD56" t="str">
        <f>IF(VLOOKUP($A56,Tabelle1!$A$4:$BU$73,31,0)&lt;&gt;"",AD$1,"")</f>
        <v>Öllein</v>
      </c>
      <c r="AE56" t="str">
        <f>IF(VLOOKUP($A56,Tabelle1!$A$4:$BU$73,32,0)&lt;&gt;"",AE$1,"")</f>
        <v/>
      </c>
      <c r="AF56" t="str">
        <f>IF(VLOOKUP($A56,Tabelle1!$A$4:$BU$73,33,0)&lt;&gt;"",AF$1,"")</f>
        <v/>
      </c>
      <c r="AG56" t="str">
        <f>IF(VLOOKUP($A56,Tabelle1!$A$4:$BU$73,34,0)&lt;&gt;"",AG$1,"")</f>
        <v/>
      </c>
      <c r="AH56" t="str">
        <f>IF(VLOOKUP($A56,Tabelle1!$A$4:$BU$73,35,0)&lt;&gt;"",AH$1,"")</f>
        <v>Phazelie</v>
      </c>
      <c r="AI56" t="str">
        <f>IF(VLOOKUP($A56,Tabelle1!$A$4:$BU$73,36,0)&lt;&gt;"",AI$1,"")</f>
        <v/>
      </c>
      <c r="AJ56" t="str">
        <f>IF(VLOOKUP($A56,Tabelle1!$A$4:$BU$73,37,0)&lt;&gt;"",AJ$1,"")</f>
        <v/>
      </c>
      <c r="AK56" t="str">
        <f>IF(VLOOKUP($A56,Tabelle1!$A$4:$BU$73,38,0)&lt;&gt;"",AK$1,"")</f>
        <v/>
      </c>
      <c r="AL56" t="str">
        <f>IF(VLOOKUP($A56,Tabelle1!$A$4:$BU$73,39,0)&lt;&gt;"",AL$1,"")</f>
        <v/>
      </c>
      <c r="AM56" t="str">
        <f>IF(VLOOKUP($A56,Tabelle1!$A$4:$BU$73,40,0)&lt;&gt;"",AM$1,"")</f>
        <v>Saatwicke / Sommerwicke</v>
      </c>
      <c r="AN56" t="str">
        <f>IF(VLOOKUP($A56,Tabelle1!$A$4:$BU$73,41,0)&lt;&gt;"",AN$1,"")</f>
        <v/>
      </c>
      <c r="AO56" t="str">
        <f>IF(VLOOKUP($A56,Tabelle1!$A$4:$BU$73,42,0)&lt;&gt;"",AO$1,"")</f>
        <v>Sandhafer / Rauhafer</v>
      </c>
      <c r="AP56" t="str">
        <f>IF(VLOOKUP($A56,Tabelle1!$A$4:$BU$73,43,0)&lt;&gt;"",AP$1,"")</f>
        <v/>
      </c>
      <c r="AQ56" t="str">
        <f>IF(VLOOKUP($A56,Tabelle1!$A$4:$BU$73,44,0)&lt;&gt;"",AQ$1,"")</f>
        <v/>
      </c>
      <c r="AR56" t="str">
        <f>IF(VLOOKUP($A56,Tabelle1!$A$4:$BU$73,45,0)&lt;&gt;"",AR$1,"")</f>
        <v/>
      </c>
      <c r="AS56" t="str">
        <f>IF(VLOOKUP($A56,Tabelle1!$A$4:$BU$73,46,0)&lt;&gt;"",AS$1,"")</f>
        <v/>
      </c>
      <c r="AT56" t="str">
        <f>IF(VLOOKUP($A56,Tabelle1!$A$4:$BU$73,47,0)&lt;&gt;"",AT$1,"")</f>
        <v/>
      </c>
      <c r="AU56" t="str">
        <f>IF(VLOOKUP($A56,Tabelle1!$A$4:$BU$73,48,0)&lt;&gt;"",AU$1,"")</f>
        <v>Sonnenblume</v>
      </c>
      <c r="AV56" t="str">
        <f>IF(VLOOKUP($A56,Tabelle1!$A$4:$BU$73,49,0)&lt;&gt;"",AV$1,"")</f>
        <v/>
      </c>
      <c r="AW56" t="str">
        <f>IF(VLOOKUP($A56,Tabelle1!$A$4:$BU$73,50,0)&lt;&gt;"",AW$1,"")</f>
        <v/>
      </c>
      <c r="AX56" t="str">
        <f>IF(VLOOKUP($A56,Tabelle1!$A$4:$BU$73,51,0)&lt;&gt;"",AX$1,"")</f>
        <v/>
      </c>
      <c r="AY56" t="str">
        <f>IF(VLOOKUP($A56,Tabelle1!$A$4:$BU$73,52,0)&lt;&gt;"",AY$1,"")</f>
        <v/>
      </c>
      <c r="AZ56" t="str">
        <f>IF(VLOOKUP($A56,Tabelle1!$A$4:$BU$73,53,0)&lt;&gt;"",AZ$1,"")</f>
        <v/>
      </c>
      <c r="BA56" t="str">
        <f>IF(VLOOKUP($A56,Tabelle1!$A$4:$BU$73,54,0)&lt;&gt;"",BA$1,"")</f>
        <v/>
      </c>
      <c r="BB56" t="str">
        <f>IF(VLOOKUP($A56,Tabelle1!$A$4:$BU$73,55,0)&lt;&gt;"",BB$1,"")</f>
        <v/>
      </c>
      <c r="BC56" t="str">
        <f>IF(VLOOKUP($A56,Tabelle1!$A$4:$BU$73,56,0)&lt;&gt;"",BC$1,"")</f>
        <v/>
      </c>
      <c r="BD56" t="str">
        <f>IF(VLOOKUP($A56,Tabelle1!$A$4:$BU$73,57,0)&lt;&gt;"",BD$1,"")</f>
        <v/>
      </c>
      <c r="BE56" t="str">
        <f>IF(VLOOKUP($A56,Tabelle1!$A$4:$BU$73,58,0)&lt;&gt;"",BE$1,"")</f>
        <v/>
      </c>
      <c r="BF56" t="str">
        <f>IF(VLOOKUP($A56,Tabelle1!$A$4:$BU$73,59,0)&lt;&gt;"",BF$1,"")</f>
        <v/>
      </c>
      <c r="BG56" t="str">
        <f>IF(VLOOKUP($A56,Tabelle1!$A$4:$BU$73,60,0)&lt;&gt;"",BG$1,"")</f>
        <v/>
      </c>
      <c r="BH56" t="str">
        <f>IF(VLOOKUP($A56,Tabelle1!$A$4:$BU$73,61,0)&lt;&gt;"",BH$1,"")</f>
        <v/>
      </c>
      <c r="BI56" t="str">
        <f>IF(VLOOKUP($A56,Tabelle1!$A$4:$BU$73,62,0)&lt;&gt;"",BI$1,"")</f>
        <v/>
      </c>
      <c r="BJ56" t="str">
        <f>IF(VLOOKUP($A56,Tabelle1!$A$4:$BU$73,63,0)&lt;&gt;"",BJ$1,"")</f>
        <v/>
      </c>
      <c r="BK56" t="str">
        <f>IF(VLOOKUP($A56,Tabelle1!$A$4:$BU$73,64,0)&lt;&gt;"",BK$1,"")</f>
        <v/>
      </c>
      <c r="BL56" t="str">
        <f>IF(VLOOKUP($A56,Tabelle1!$A$4:$BU$73,65,0)&lt;&gt;"",BL$1,"")</f>
        <v/>
      </c>
      <c r="BM56" t="str">
        <f>IF(VLOOKUP($A56,Tabelle1!$A$4:$BU$73,66,0)&lt;&gt;"",BM$1,"")</f>
        <v/>
      </c>
      <c r="BN56" t="str">
        <f>IF(VLOOKUP($A56,Tabelle1!$A$4:$BU$73,67,0)&lt;&gt;"",BN$1,"")</f>
        <v/>
      </c>
      <c r="BO56" t="str">
        <f>IF(VLOOKUP($A56,Tabelle1!$A$4:$BU$73,68,0)&lt;&gt;"",BO$1,"")</f>
        <v/>
      </c>
      <c r="BP56" t="str">
        <f>IF(VLOOKUP($A56,Tabelle1!$A$4:$BU$73,69,0)&lt;&gt;"",BP$1,"")</f>
        <v/>
      </c>
      <c r="BQ56" t="str">
        <f>IF(VLOOKUP($A56,Tabelle1!$A$4:$BU$73,70,0)&lt;&gt;"",BQ$1,"")</f>
        <v/>
      </c>
      <c r="BR56" t="str">
        <f>IF(VLOOKUP($A56,Tabelle1!$A$4:$BU$73,71,0)&lt;&gt;"",BR$1,"")</f>
        <v/>
      </c>
      <c r="BS56" t="str">
        <f>IF(VLOOKUP($A56,Tabelle1!$A$4:$BU$73,72,0)&lt;&gt;"",BS$1,"")</f>
        <v/>
      </c>
      <c r="BT56" t="str">
        <f>IF(VLOOKUP($A56,Tabelle1!$A$4:$BU$73,73,0)&lt;&gt;"",BT$1,"")</f>
        <v/>
      </c>
    </row>
    <row r="57" spans="1:72" x14ac:dyDescent="0.2">
      <c r="A57" t="s">
        <v>507</v>
      </c>
      <c r="B57">
        <v>33</v>
      </c>
      <c r="C57">
        <v>3.39</v>
      </c>
      <c r="D57" t="str">
        <f>IF(VLOOKUP($A57,Tabelle1!$A$4:$BU$73,5,0)&lt;&gt;"",D$1,"")</f>
        <v xml:space="preserve">Abessinischer Senf </v>
      </c>
      <c r="E57" t="str">
        <f>IF(VLOOKUP($A57,Tabelle1!$A$4:$BU$73,6,0)&lt;&gt;"",E$1,"")</f>
        <v/>
      </c>
      <c r="F57" t="str">
        <f>IF(VLOOKUP($A57,Tabelle1!$A$4:$BU$73,7,0)&lt;&gt;"",F$1,"")</f>
        <v>Alexandrinerklee</v>
      </c>
      <c r="G57" t="str">
        <f>IF(VLOOKUP($A57,Tabelle1!$A$4:$BU$73,8,0)&lt;&gt;"",G$1,"")</f>
        <v/>
      </c>
      <c r="H57" t="str">
        <f>IF(VLOOKUP($A57,Tabelle1!$A$4:$BU$73,9,0)&lt;&gt;"",H$1,"")</f>
        <v/>
      </c>
      <c r="I57" t="str">
        <f>IF(VLOOKUP($A57,Tabelle1!$A$4:$BU$73,10,0)&lt;&gt;"",I$1,"")</f>
        <v/>
      </c>
      <c r="J57" t="str">
        <f>IF(VLOOKUP($A57,Tabelle1!$A$4:$BU$73,11,0)&lt;&gt;"",J$1,"")</f>
        <v/>
      </c>
      <c r="K57" t="str">
        <f>IF(VLOOKUP($A57,Tabelle1!$A$4:$BU$73,12,0)&lt;&gt;"",K$1,"")</f>
        <v/>
      </c>
      <c r="L57" t="str">
        <f>IF(VLOOKUP($A57,Tabelle1!$A$4:$BU$73,13,0)&lt;&gt;"",L$1,"")</f>
        <v/>
      </c>
      <c r="M57" t="str">
        <f>IF(VLOOKUP($A57,Tabelle1!$A$4:$BU$73,14,0)&lt;&gt;"",M$1,"")</f>
        <v>Futtererbse</v>
      </c>
      <c r="N57" t="str">
        <f>IF(VLOOKUP($A57,Tabelle1!$A$4:$BU$73,15,0)&lt;&gt;"",N$1,"")</f>
        <v/>
      </c>
      <c r="O57" t="str">
        <f>IF(VLOOKUP($A57,Tabelle1!$A$4:$BU$73,16,0)&lt;&gt;"",O$1,"")</f>
        <v/>
      </c>
      <c r="P57" t="str">
        <f>IF(VLOOKUP($A57,Tabelle1!$A$4:$BU$73,17,0)&lt;&gt;"",P$1,"")</f>
        <v/>
      </c>
      <c r="Q57" t="str">
        <f>IF(VLOOKUP($A57,Tabelle1!$A$4:$BU$73,18,0)&lt;&gt;"",Q$1,"")</f>
        <v/>
      </c>
      <c r="R57" t="str">
        <f>IF(VLOOKUP($A57,Tabelle1!$A$4:$BU$73,19,0)&lt;&gt;"",R$1,"")</f>
        <v/>
      </c>
      <c r="S57" t="str">
        <f>IF(VLOOKUP($A57,Tabelle1!$A$4:$BU$73,20,0)&lt;&gt;"",S$1,"")</f>
        <v/>
      </c>
      <c r="T57" t="str">
        <f>IF(VLOOKUP($A57,Tabelle1!$A$4:$BU$73,21,0)&lt;&gt;"",T$1,"")</f>
        <v>Inkarnatklee</v>
      </c>
      <c r="U57" t="str">
        <f>IF(VLOOKUP($A57,Tabelle1!$A$4:$BU$73,22,0)&lt;&gt;"",U$1,"")</f>
        <v/>
      </c>
      <c r="V57" t="str">
        <f>IF(VLOOKUP($A57,Tabelle1!$A$4:$BU$73,23,0)&lt;&gt;"",V$1,"")</f>
        <v/>
      </c>
      <c r="W57" t="str">
        <f>IF(VLOOKUP($A57,Tabelle1!$A$4:$BU$73,24,0)&lt;&gt;"",W$1,"")</f>
        <v/>
      </c>
      <c r="X57" t="str">
        <f>IF(VLOOKUP($A57,Tabelle1!$A$4:$BU$73,25,0)&lt;&gt;"",X$1,"")</f>
        <v/>
      </c>
      <c r="Y57" t="str">
        <f>IF(VLOOKUP($A57,Tabelle1!$A$4:$BU$73,26,0)&lt;&gt;"",Y$1,"")</f>
        <v/>
      </c>
      <c r="Z57" t="str">
        <f>IF(VLOOKUP($A57,Tabelle1!$A$4:$BU$73,27,0)&lt;&gt;"",Z$1,"")</f>
        <v/>
      </c>
      <c r="AA57" t="str">
        <f>IF(VLOOKUP($A57,Tabelle1!$A$4:$BU$73,28,0)&lt;&gt;"",AA$1,"")</f>
        <v/>
      </c>
      <c r="AB57" t="str">
        <f>IF(VLOOKUP($A57,Tabelle1!$A$4:$BU$73,29,0)&lt;&gt;"",AB$1,"")</f>
        <v>Meliorationsrettich</v>
      </c>
      <c r="AC57" t="str">
        <f>IF(VLOOKUP($A57,Tabelle1!$A$4:$BU$73,30,0)&lt;&gt;"",AC$1,"")</f>
        <v>Schwarzsamen/Ramtilkraut/Gingellikraut/Mungo</v>
      </c>
      <c r="AD57" t="str">
        <f>IF(VLOOKUP($A57,Tabelle1!$A$4:$BU$73,31,0)&lt;&gt;"",AD$1,"")</f>
        <v>Öllein</v>
      </c>
      <c r="AE57" t="str">
        <f>IF(VLOOKUP($A57,Tabelle1!$A$4:$BU$73,32,0)&lt;&gt;"",AE$1,"")</f>
        <v/>
      </c>
      <c r="AF57" t="str">
        <f>IF(VLOOKUP($A57,Tabelle1!$A$4:$BU$73,33,0)&lt;&gt;"",AF$1,"")</f>
        <v/>
      </c>
      <c r="AG57" t="str">
        <f>IF(VLOOKUP($A57,Tabelle1!$A$4:$BU$73,34,0)&lt;&gt;"",AG$1,"")</f>
        <v>Persischer Klee</v>
      </c>
      <c r="AH57" t="str">
        <f>IF(VLOOKUP($A57,Tabelle1!$A$4:$BU$73,35,0)&lt;&gt;"",AH$1,"")</f>
        <v>Phazelie</v>
      </c>
      <c r="AI57" t="str">
        <f>IF(VLOOKUP($A57,Tabelle1!$A$4:$BU$73,36,0)&lt;&gt;"",AI$1,"")</f>
        <v/>
      </c>
      <c r="AJ57" t="str">
        <f>IF(VLOOKUP($A57,Tabelle1!$A$4:$BU$73,37,0)&lt;&gt;"",AJ$1,"")</f>
        <v/>
      </c>
      <c r="AK57" t="str">
        <f>IF(VLOOKUP($A57,Tabelle1!$A$4:$BU$73,38,0)&lt;&gt;"",AK$1,"")</f>
        <v>Rotklee</v>
      </c>
      <c r="AL57" t="str">
        <f>IF(VLOOKUP($A57,Tabelle1!$A$4:$BU$73,39,0)&lt;&gt;"",AL$1,"")</f>
        <v/>
      </c>
      <c r="AM57" t="str">
        <f>IF(VLOOKUP($A57,Tabelle1!$A$4:$BU$73,40,0)&lt;&gt;"",AM$1,"")</f>
        <v>Saatwicke / Sommerwicke</v>
      </c>
      <c r="AN57" t="str">
        <f>IF(VLOOKUP($A57,Tabelle1!$A$4:$BU$73,41,0)&lt;&gt;"",AN$1,"")</f>
        <v/>
      </c>
      <c r="AO57" t="str">
        <f>IF(VLOOKUP($A57,Tabelle1!$A$4:$BU$73,42,0)&lt;&gt;"",AO$1,"")</f>
        <v/>
      </c>
      <c r="AP57" t="str">
        <f>IF(VLOOKUP($A57,Tabelle1!$A$4:$BU$73,43,0)&lt;&gt;"",AP$1,"")</f>
        <v/>
      </c>
      <c r="AQ57" t="str">
        <f>IF(VLOOKUP($A57,Tabelle1!$A$4:$BU$73,44,0)&lt;&gt;"",AQ$1,"")</f>
        <v>Schwedenklee</v>
      </c>
      <c r="AR57" t="str">
        <f>IF(VLOOKUP($A57,Tabelle1!$A$4:$BU$73,45,0)&lt;&gt;"",AR$1,"")</f>
        <v/>
      </c>
      <c r="AS57" t="str">
        <f>IF(VLOOKUP($A57,Tabelle1!$A$4:$BU$73,46,0)&lt;&gt;"",AS$1,"")</f>
        <v/>
      </c>
      <c r="AT57" t="str">
        <f>IF(VLOOKUP($A57,Tabelle1!$A$4:$BU$73,47,0)&lt;&gt;"",AT$1,"")</f>
        <v/>
      </c>
      <c r="AU57" t="str">
        <f>IF(VLOOKUP($A57,Tabelle1!$A$4:$BU$73,48,0)&lt;&gt;"",AU$1,"")</f>
        <v>Sonnenblume</v>
      </c>
      <c r="AV57" t="str">
        <f>IF(VLOOKUP($A57,Tabelle1!$A$4:$BU$73,49,0)&lt;&gt;"",AV$1,"")</f>
        <v/>
      </c>
      <c r="AW57" t="str">
        <f>IF(VLOOKUP($A57,Tabelle1!$A$4:$BU$73,50,0)&lt;&gt;"",AW$1,"")</f>
        <v/>
      </c>
      <c r="AX57" t="str">
        <f>IF(VLOOKUP($A57,Tabelle1!$A$4:$BU$73,51,0)&lt;&gt;"",AX$1,"")</f>
        <v>Sudangras</v>
      </c>
      <c r="AY57" t="str">
        <f>IF(VLOOKUP($A57,Tabelle1!$A$4:$BU$73,52,0)&lt;&gt;"",AY$1,"")</f>
        <v/>
      </c>
      <c r="AZ57" t="str">
        <f>IF(VLOOKUP($A57,Tabelle1!$A$4:$BU$73,53,0)&lt;&gt;"",AZ$1,"")</f>
        <v>Weißklee</v>
      </c>
      <c r="BA57" t="str">
        <f>IF(VLOOKUP($A57,Tabelle1!$A$4:$BU$73,54,0)&lt;&gt;"",BA$1,"")</f>
        <v/>
      </c>
      <c r="BB57" t="str">
        <f>IF(VLOOKUP($A57,Tabelle1!$A$4:$BU$73,55,0)&lt;&gt;"",BB$1,"")</f>
        <v/>
      </c>
      <c r="BC57" t="str">
        <f>IF(VLOOKUP($A57,Tabelle1!$A$4:$BU$73,56,0)&lt;&gt;"",BC$1,"")</f>
        <v/>
      </c>
      <c r="BD57" t="str">
        <f>IF(VLOOKUP($A57,Tabelle1!$A$4:$BU$73,57,0)&lt;&gt;"",BD$1,"")</f>
        <v>Winterwicke Pannonisch</v>
      </c>
      <c r="BE57" t="str">
        <f>IF(VLOOKUP($A57,Tabelle1!$A$4:$BU$73,58,0)&lt;&gt;"",BE$1,"")</f>
        <v/>
      </c>
      <c r="BF57" t="str">
        <f>IF(VLOOKUP($A57,Tabelle1!$A$4:$BU$73,59,0)&lt;&gt;"",BF$1,"")</f>
        <v/>
      </c>
      <c r="BG57" t="str">
        <f>IF(VLOOKUP($A57,Tabelle1!$A$4:$BU$73,60,0)&lt;&gt;"",BG$1,"")</f>
        <v/>
      </c>
      <c r="BH57" t="str">
        <f>IF(VLOOKUP($A57,Tabelle1!$A$4:$BU$73,61,0)&lt;&gt;"",BH$1,"")</f>
        <v>Seradella</v>
      </c>
      <c r="BI57" t="str">
        <f>IF(VLOOKUP($A57,Tabelle1!$A$4:$BU$73,62,0)&lt;&gt;"",BI$1,"")</f>
        <v/>
      </c>
      <c r="BJ57" t="str">
        <f>IF(VLOOKUP($A57,Tabelle1!$A$4:$BU$73,63,0)&lt;&gt;"",BJ$1,"")</f>
        <v/>
      </c>
      <c r="BK57" t="str">
        <f>IF(VLOOKUP($A57,Tabelle1!$A$4:$BU$73,64,0)&lt;&gt;"",BK$1,"")</f>
        <v/>
      </c>
      <c r="BL57" t="str">
        <f>IF(VLOOKUP($A57,Tabelle1!$A$4:$BU$73,65,0)&lt;&gt;"",BL$1,"")</f>
        <v/>
      </c>
      <c r="BM57" t="str">
        <f>IF(VLOOKUP($A57,Tabelle1!$A$4:$BU$73,66,0)&lt;&gt;"",BM$1,"")</f>
        <v/>
      </c>
      <c r="BN57" t="str">
        <f>IF(VLOOKUP($A57,Tabelle1!$A$4:$BU$73,67,0)&lt;&gt;"",BN$1,"")</f>
        <v/>
      </c>
      <c r="BO57" t="str">
        <f>IF(VLOOKUP($A57,Tabelle1!$A$4:$BU$73,68,0)&lt;&gt;"",BO$1,"")</f>
        <v/>
      </c>
      <c r="BP57" t="str">
        <f>IF(VLOOKUP($A57,Tabelle1!$A$4:$BU$73,69,0)&lt;&gt;"",BP$1,"")</f>
        <v/>
      </c>
      <c r="BQ57" t="str">
        <f>IF(VLOOKUP($A57,Tabelle1!$A$4:$BU$73,70,0)&lt;&gt;"",BQ$1,"")</f>
        <v/>
      </c>
      <c r="BR57" t="str">
        <f>IF(VLOOKUP($A57,Tabelle1!$A$4:$BU$73,71,0)&lt;&gt;"",BR$1,"")</f>
        <v/>
      </c>
      <c r="BS57" t="str">
        <f>IF(VLOOKUP($A57,Tabelle1!$A$4:$BU$73,72,0)&lt;&gt;"",BS$1,"")</f>
        <v/>
      </c>
      <c r="BT57" t="str">
        <f>IF(VLOOKUP($A57,Tabelle1!$A$4:$BU$73,73,0)&lt;&gt;"",BT$1,"")</f>
        <v/>
      </c>
    </row>
    <row r="58" spans="1:72" x14ac:dyDescent="0.2">
      <c r="A58" t="s">
        <v>350</v>
      </c>
      <c r="B58">
        <v>33</v>
      </c>
      <c r="C58">
        <v>3.66</v>
      </c>
      <c r="D58" t="str">
        <f>IF(VLOOKUP($A58,Tabelle1!$A$4:$BU$73,5,0)&lt;&gt;"",D$1,"")</f>
        <v xml:space="preserve">Abessinischer Senf </v>
      </c>
      <c r="E58" t="str">
        <f>IF(VLOOKUP($A58,Tabelle1!$A$4:$BU$73,6,0)&lt;&gt;"",E$1,"")</f>
        <v/>
      </c>
      <c r="F58" t="str">
        <f>IF(VLOOKUP($A58,Tabelle1!$A$4:$BU$73,7,0)&lt;&gt;"",F$1,"")</f>
        <v>Alexandrinerklee</v>
      </c>
      <c r="G58" t="str">
        <f>IF(VLOOKUP($A58,Tabelle1!$A$4:$BU$73,8,0)&lt;&gt;"",G$1,"")</f>
        <v/>
      </c>
      <c r="H58" t="str">
        <f>IF(VLOOKUP($A58,Tabelle1!$A$4:$BU$73,9,0)&lt;&gt;"",H$1,"")</f>
        <v/>
      </c>
      <c r="I58" t="str">
        <f>IF(VLOOKUP($A58,Tabelle1!$A$4:$BU$73,10,0)&lt;&gt;"",I$1,"")</f>
        <v/>
      </c>
      <c r="J58" t="str">
        <f>IF(VLOOKUP($A58,Tabelle1!$A$4:$BU$73,11,0)&lt;&gt;"",J$1,"")</f>
        <v/>
      </c>
      <c r="K58" t="str">
        <f>IF(VLOOKUP($A58,Tabelle1!$A$4:$BU$73,12,0)&lt;&gt;"",K$1,"")</f>
        <v/>
      </c>
      <c r="L58" t="str">
        <f>IF(VLOOKUP($A58,Tabelle1!$A$4:$BU$73,13,0)&lt;&gt;"",L$1,"")</f>
        <v/>
      </c>
      <c r="M58" t="str">
        <f>IF(VLOOKUP($A58,Tabelle1!$A$4:$BU$73,14,0)&lt;&gt;"",M$1,"")</f>
        <v>Futtererbse</v>
      </c>
      <c r="N58" t="str">
        <f>IF(VLOOKUP($A58,Tabelle1!$A$4:$BU$73,15,0)&lt;&gt;"",N$1,"")</f>
        <v/>
      </c>
      <c r="O58" t="str">
        <f>IF(VLOOKUP($A58,Tabelle1!$A$4:$BU$73,16,0)&lt;&gt;"",O$1,"")</f>
        <v/>
      </c>
      <c r="P58" t="str">
        <f>IF(VLOOKUP($A58,Tabelle1!$A$4:$BU$73,17,0)&lt;&gt;"",P$1,"")</f>
        <v/>
      </c>
      <c r="Q58" t="str">
        <f>IF(VLOOKUP($A58,Tabelle1!$A$4:$BU$73,18,0)&lt;&gt;"",Q$1,"")</f>
        <v/>
      </c>
      <c r="R58" t="str">
        <f>IF(VLOOKUP($A58,Tabelle1!$A$4:$BU$73,19,0)&lt;&gt;"",R$1,"")</f>
        <v/>
      </c>
      <c r="S58" t="str">
        <f>IF(VLOOKUP($A58,Tabelle1!$A$4:$BU$73,20,0)&lt;&gt;"",S$1,"")</f>
        <v/>
      </c>
      <c r="T58" t="str">
        <f>IF(VLOOKUP($A58,Tabelle1!$A$4:$BU$73,21,0)&lt;&gt;"",T$1,"")</f>
        <v/>
      </c>
      <c r="U58" t="str">
        <f>IF(VLOOKUP($A58,Tabelle1!$A$4:$BU$73,22,0)&lt;&gt;"",U$1,"")</f>
        <v/>
      </c>
      <c r="V58" t="str">
        <f>IF(VLOOKUP($A58,Tabelle1!$A$4:$BU$73,23,0)&lt;&gt;"",V$1,"")</f>
        <v/>
      </c>
      <c r="W58" t="str">
        <f>IF(VLOOKUP($A58,Tabelle1!$A$4:$BU$73,24,0)&lt;&gt;"",W$1,"")</f>
        <v/>
      </c>
      <c r="X58" t="str">
        <f>IF(VLOOKUP($A58,Tabelle1!$A$4:$BU$73,25,0)&lt;&gt;"",X$1,"")</f>
        <v/>
      </c>
      <c r="Y58" t="str">
        <f>IF(VLOOKUP($A58,Tabelle1!$A$4:$BU$73,26,0)&lt;&gt;"",Y$1,"")</f>
        <v/>
      </c>
      <c r="Z58" t="str">
        <f>IF(VLOOKUP($A58,Tabelle1!$A$4:$BU$73,27,0)&lt;&gt;"",Z$1,"")</f>
        <v/>
      </c>
      <c r="AA58" t="str">
        <f>IF(VLOOKUP($A58,Tabelle1!$A$4:$BU$73,28,0)&lt;&gt;"",AA$1,"")</f>
        <v/>
      </c>
      <c r="AB58" t="str">
        <f>IF(VLOOKUP($A58,Tabelle1!$A$4:$BU$73,29,0)&lt;&gt;"",AB$1,"")</f>
        <v>Meliorationsrettich</v>
      </c>
      <c r="AC58" t="str">
        <f>IF(VLOOKUP($A58,Tabelle1!$A$4:$BU$73,30,0)&lt;&gt;"",AC$1,"")</f>
        <v>Schwarzsamen/Ramtilkraut/Gingellikraut/Mungo</v>
      </c>
      <c r="AD58" t="str">
        <f>IF(VLOOKUP($A58,Tabelle1!$A$4:$BU$73,31,0)&lt;&gt;"",AD$1,"")</f>
        <v>Öllein</v>
      </c>
      <c r="AE58" t="str">
        <f>IF(VLOOKUP($A58,Tabelle1!$A$4:$BU$73,32,0)&lt;&gt;"",AE$1,"")</f>
        <v/>
      </c>
      <c r="AF58" t="str">
        <f>IF(VLOOKUP($A58,Tabelle1!$A$4:$BU$73,33,0)&lt;&gt;"",AF$1,"")</f>
        <v/>
      </c>
      <c r="AG58" t="str">
        <f>IF(VLOOKUP($A58,Tabelle1!$A$4:$BU$73,34,0)&lt;&gt;"",AG$1,"")</f>
        <v/>
      </c>
      <c r="AH58" t="str">
        <f>IF(VLOOKUP($A58,Tabelle1!$A$4:$BU$73,35,0)&lt;&gt;"",AH$1,"")</f>
        <v>Phazelie</v>
      </c>
      <c r="AI58" t="str">
        <f>IF(VLOOKUP($A58,Tabelle1!$A$4:$BU$73,36,0)&lt;&gt;"",AI$1,"")</f>
        <v/>
      </c>
      <c r="AJ58" t="str">
        <f>IF(VLOOKUP($A58,Tabelle1!$A$4:$BU$73,37,0)&lt;&gt;"",AJ$1,"")</f>
        <v/>
      </c>
      <c r="AK58" t="str">
        <f>IF(VLOOKUP($A58,Tabelle1!$A$4:$BU$73,38,0)&lt;&gt;"",AK$1,"")</f>
        <v/>
      </c>
      <c r="AL58" t="str">
        <f>IF(VLOOKUP($A58,Tabelle1!$A$4:$BU$73,39,0)&lt;&gt;"",AL$1,"")</f>
        <v/>
      </c>
      <c r="AM58" t="str">
        <f>IF(VLOOKUP($A58,Tabelle1!$A$4:$BU$73,40,0)&lt;&gt;"",AM$1,"")</f>
        <v>Saatwicke / Sommerwicke</v>
      </c>
      <c r="AN58" t="str">
        <f>IF(VLOOKUP($A58,Tabelle1!$A$4:$BU$73,41,0)&lt;&gt;"",AN$1,"")</f>
        <v/>
      </c>
      <c r="AO58" t="str">
        <f>IF(VLOOKUP($A58,Tabelle1!$A$4:$BU$73,42,0)&lt;&gt;"",AO$1,"")</f>
        <v>Sandhafer / Rauhafer</v>
      </c>
      <c r="AP58" t="str">
        <f>IF(VLOOKUP($A58,Tabelle1!$A$4:$BU$73,43,0)&lt;&gt;"",AP$1,"")</f>
        <v/>
      </c>
      <c r="AQ58" t="str">
        <f>IF(VLOOKUP($A58,Tabelle1!$A$4:$BU$73,44,0)&lt;&gt;"",AQ$1,"")</f>
        <v/>
      </c>
      <c r="AR58" t="str">
        <f>IF(VLOOKUP($A58,Tabelle1!$A$4:$BU$73,45,0)&lt;&gt;"",AR$1,"")</f>
        <v/>
      </c>
      <c r="AS58" t="str">
        <f>IF(VLOOKUP($A58,Tabelle1!$A$4:$BU$73,46,0)&lt;&gt;"",AS$1,"")</f>
        <v/>
      </c>
      <c r="AT58" t="str">
        <f>IF(VLOOKUP($A58,Tabelle1!$A$4:$BU$73,47,0)&lt;&gt;"",AT$1,"")</f>
        <v/>
      </c>
      <c r="AU58" t="str">
        <f>IF(VLOOKUP($A58,Tabelle1!$A$4:$BU$73,48,0)&lt;&gt;"",AU$1,"")</f>
        <v/>
      </c>
      <c r="AV58" t="str">
        <f>IF(VLOOKUP($A58,Tabelle1!$A$4:$BU$73,49,0)&lt;&gt;"",AV$1,"")</f>
        <v/>
      </c>
      <c r="AW58" t="str">
        <f>IF(VLOOKUP($A58,Tabelle1!$A$4:$BU$73,50,0)&lt;&gt;"",AW$1,"")</f>
        <v/>
      </c>
      <c r="AX58" t="str">
        <f>IF(VLOOKUP($A58,Tabelle1!$A$4:$BU$73,51,0)&lt;&gt;"",AX$1,"")</f>
        <v/>
      </c>
      <c r="AY58" t="str">
        <f>IF(VLOOKUP($A58,Tabelle1!$A$4:$BU$73,52,0)&lt;&gt;"",AY$1,"")</f>
        <v/>
      </c>
      <c r="AZ58" t="str">
        <f>IF(VLOOKUP($A58,Tabelle1!$A$4:$BU$73,53,0)&lt;&gt;"",AZ$1,"")</f>
        <v/>
      </c>
      <c r="BA58" t="str">
        <f>IF(VLOOKUP($A58,Tabelle1!$A$4:$BU$73,54,0)&lt;&gt;"",BA$1,"")</f>
        <v/>
      </c>
      <c r="BB58" t="str">
        <f>IF(VLOOKUP($A58,Tabelle1!$A$4:$BU$73,55,0)&lt;&gt;"",BB$1,"")</f>
        <v/>
      </c>
      <c r="BC58" t="str">
        <f>IF(VLOOKUP($A58,Tabelle1!$A$4:$BU$73,56,0)&lt;&gt;"",BC$1,"")</f>
        <v/>
      </c>
      <c r="BD58" t="str">
        <f>IF(VLOOKUP($A58,Tabelle1!$A$4:$BU$73,57,0)&lt;&gt;"",BD$1,"")</f>
        <v/>
      </c>
      <c r="BE58" t="str">
        <f>IF(VLOOKUP($A58,Tabelle1!$A$4:$BU$73,58,0)&lt;&gt;"",BE$1,"")</f>
        <v/>
      </c>
      <c r="BF58" t="str">
        <f>IF(VLOOKUP($A58,Tabelle1!$A$4:$BU$73,59,0)&lt;&gt;"",BF$1,"")</f>
        <v/>
      </c>
      <c r="BG58" t="str">
        <f>IF(VLOOKUP($A58,Tabelle1!$A$4:$BU$73,60,0)&lt;&gt;"",BG$1,"")</f>
        <v/>
      </c>
      <c r="BH58" t="str">
        <f>IF(VLOOKUP($A58,Tabelle1!$A$4:$BU$73,61,0)&lt;&gt;"",BH$1,"")</f>
        <v>Seradella</v>
      </c>
      <c r="BI58" t="str">
        <f>IF(VLOOKUP($A58,Tabelle1!$A$4:$BU$73,62,0)&lt;&gt;"",BI$1,"")</f>
        <v/>
      </c>
      <c r="BJ58" t="str">
        <f>IF(VLOOKUP($A58,Tabelle1!$A$4:$BU$73,63,0)&lt;&gt;"",BJ$1,"")</f>
        <v/>
      </c>
      <c r="BK58" t="str">
        <f>IF(VLOOKUP($A58,Tabelle1!$A$4:$BU$73,64,0)&lt;&gt;"",BK$1,"")</f>
        <v/>
      </c>
      <c r="BL58" t="str">
        <f>IF(VLOOKUP($A58,Tabelle1!$A$4:$BU$73,65,0)&lt;&gt;"",BL$1,"")</f>
        <v/>
      </c>
      <c r="BM58" t="str">
        <f>IF(VLOOKUP($A58,Tabelle1!$A$4:$BU$73,66,0)&lt;&gt;"",BM$1,"")</f>
        <v/>
      </c>
      <c r="BN58" t="str">
        <f>IF(VLOOKUP($A58,Tabelle1!$A$4:$BU$73,67,0)&lt;&gt;"",BN$1,"")</f>
        <v/>
      </c>
      <c r="BO58" t="str">
        <f>IF(VLOOKUP($A58,Tabelle1!$A$4:$BU$73,68,0)&lt;&gt;"",BO$1,"")</f>
        <v/>
      </c>
      <c r="BP58" t="str">
        <f>IF(VLOOKUP($A58,Tabelle1!$A$4:$BU$73,69,0)&lt;&gt;"",BP$1,"")</f>
        <v/>
      </c>
      <c r="BQ58" t="str">
        <f>IF(VLOOKUP($A58,Tabelle1!$A$4:$BU$73,70,0)&lt;&gt;"",BQ$1,"")</f>
        <v/>
      </c>
      <c r="BR58" t="str">
        <f>IF(VLOOKUP($A58,Tabelle1!$A$4:$BU$73,71,0)&lt;&gt;"",BR$1,"")</f>
        <v/>
      </c>
      <c r="BS58" t="str">
        <f>IF(VLOOKUP($A58,Tabelle1!$A$4:$BU$73,72,0)&lt;&gt;"",BS$1,"")</f>
        <v/>
      </c>
      <c r="BT58" t="str">
        <f>IF(VLOOKUP($A58,Tabelle1!$A$4:$BU$73,73,0)&lt;&gt;"",BT$1,"")</f>
        <v/>
      </c>
    </row>
    <row r="59" spans="1:72" x14ac:dyDescent="0.2">
      <c r="A59" t="s">
        <v>508</v>
      </c>
      <c r="B59">
        <v>43</v>
      </c>
      <c r="C59">
        <v>3.07</v>
      </c>
      <c r="D59" t="str">
        <f>IF(VLOOKUP($A59,Tabelle1!$A$4:$BU$73,5,0)&lt;&gt;"",D$1,"")</f>
        <v/>
      </c>
      <c r="E59" t="str">
        <f>IF(VLOOKUP($A59,Tabelle1!$A$4:$BU$73,6,0)&lt;&gt;"",E$1,"")</f>
        <v/>
      </c>
      <c r="F59" t="str">
        <f>IF(VLOOKUP($A59,Tabelle1!$A$4:$BU$73,7,0)&lt;&gt;"",F$1,"")</f>
        <v>Alexandrinerklee</v>
      </c>
      <c r="G59" t="str">
        <f>IF(VLOOKUP($A59,Tabelle1!$A$4:$BU$73,8,0)&lt;&gt;"",G$1,"")</f>
        <v/>
      </c>
      <c r="H59" t="str">
        <f>IF(VLOOKUP($A59,Tabelle1!$A$4:$BU$73,9,0)&lt;&gt;"",H$1,"")</f>
        <v>Lupine</v>
      </c>
      <c r="I59" t="str">
        <f>IF(VLOOKUP($A59,Tabelle1!$A$4:$BU$73,10,0)&lt;&gt;"",I$1,"")</f>
        <v/>
      </c>
      <c r="J59" t="str">
        <f>IF(VLOOKUP($A59,Tabelle1!$A$4:$BU$73,11,0)&lt;&gt;"",J$1,"")</f>
        <v/>
      </c>
      <c r="K59" t="str">
        <f>IF(VLOOKUP($A59,Tabelle1!$A$4:$BU$73,12,0)&lt;&gt;"",K$1,"")</f>
        <v/>
      </c>
      <c r="L59" t="str">
        <f>IF(VLOOKUP($A59,Tabelle1!$A$4:$BU$73,13,0)&lt;&gt;"",L$1,"")</f>
        <v/>
      </c>
      <c r="M59" t="str">
        <f>IF(VLOOKUP($A59,Tabelle1!$A$4:$BU$73,14,0)&lt;&gt;"",M$1,"")</f>
        <v>Futtererbse</v>
      </c>
      <c r="N59" t="str">
        <f>IF(VLOOKUP($A59,Tabelle1!$A$4:$BU$73,15,0)&lt;&gt;"",N$1,"")</f>
        <v/>
      </c>
      <c r="O59" t="str">
        <f>IF(VLOOKUP($A59,Tabelle1!$A$4:$BU$73,16,0)&lt;&gt;"",O$1,"")</f>
        <v/>
      </c>
      <c r="P59" t="str">
        <f>IF(VLOOKUP($A59,Tabelle1!$A$4:$BU$73,17,0)&lt;&gt;"",P$1,"")</f>
        <v/>
      </c>
      <c r="Q59" t="str">
        <f>IF(VLOOKUP($A59,Tabelle1!$A$4:$BU$73,18,0)&lt;&gt;"",Q$1,"")</f>
        <v/>
      </c>
      <c r="R59" t="str">
        <f>IF(VLOOKUP($A59,Tabelle1!$A$4:$BU$73,19,0)&lt;&gt;"",R$1,"")</f>
        <v/>
      </c>
      <c r="S59" t="str">
        <f>IF(VLOOKUP($A59,Tabelle1!$A$4:$BU$73,20,0)&lt;&gt;"",S$1,"")</f>
        <v/>
      </c>
      <c r="T59" t="str">
        <f>IF(VLOOKUP($A59,Tabelle1!$A$4:$BU$73,21,0)&lt;&gt;"",T$1,"")</f>
        <v/>
      </c>
      <c r="U59" t="str">
        <f>IF(VLOOKUP($A59,Tabelle1!$A$4:$BU$73,22,0)&lt;&gt;"",U$1,"")</f>
        <v/>
      </c>
      <c r="V59" t="str">
        <f>IF(VLOOKUP($A59,Tabelle1!$A$4:$BU$73,23,0)&lt;&gt;"",V$1,"")</f>
        <v/>
      </c>
      <c r="W59" t="str">
        <f>IF(VLOOKUP($A59,Tabelle1!$A$4:$BU$73,24,0)&lt;&gt;"",W$1,"")</f>
        <v/>
      </c>
      <c r="X59" t="str">
        <f>IF(VLOOKUP($A59,Tabelle1!$A$4:$BU$73,25,0)&lt;&gt;"",X$1,"")</f>
        <v/>
      </c>
      <c r="Y59" t="str">
        <f>IF(VLOOKUP($A59,Tabelle1!$A$4:$BU$73,26,0)&lt;&gt;"",Y$1,"")</f>
        <v/>
      </c>
      <c r="Z59" t="str">
        <f>IF(VLOOKUP($A59,Tabelle1!$A$4:$BU$73,27,0)&lt;&gt;"",Z$1,"")</f>
        <v/>
      </c>
      <c r="AA59" t="str">
        <f>IF(VLOOKUP($A59,Tabelle1!$A$4:$BU$73,28,0)&lt;&gt;"",AA$1,"")</f>
        <v/>
      </c>
      <c r="AB59" t="str">
        <f>IF(VLOOKUP($A59,Tabelle1!$A$4:$BU$73,29,0)&lt;&gt;"",AB$1,"")</f>
        <v/>
      </c>
      <c r="AC59" t="str">
        <f>IF(VLOOKUP($A59,Tabelle1!$A$4:$BU$73,30,0)&lt;&gt;"",AC$1,"")</f>
        <v>Schwarzsamen/Ramtilkraut/Gingellikraut/Mungo</v>
      </c>
      <c r="AD59" t="str">
        <f>IF(VLOOKUP($A59,Tabelle1!$A$4:$BU$73,31,0)&lt;&gt;"",AD$1,"")</f>
        <v>Öllein</v>
      </c>
      <c r="AE59" t="str">
        <f>IF(VLOOKUP($A59,Tabelle1!$A$4:$BU$73,32,0)&lt;&gt;"",AE$1,"")</f>
        <v/>
      </c>
      <c r="AF59" t="str">
        <f>IF(VLOOKUP($A59,Tabelle1!$A$4:$BU$73,33,0)&lt;&gt;"",AF$1,"")</f>
        <v/>
      </c>
      <c r="AG59" t="str">
        <f>IF(VLOOKUP($A59,Tabelle1!$A$4:$BU$73,34,0)&lt;&gt;"",AG$1,"")</f>
        <v/>
      </c>
      <c r="AH59" t="str">
        <f>IF(VLOOKUP($A59,Tabelle1!$A$4:$BU$73,35,0)&lt;&gt;"",AH$1,"")</f>
        <v>Phazelie</v>
      </c>
      <c r="AI59" t="str">
        <f>IF(VLOOKUP($A59,Tabelle1!$A$4:$BU$73,36,0)&lt;&gt;"",AI$1,"")</f>
        <v/>
      </c>
      <c r="AJ59" t="str">
        <f>IF(VLOOKUP($A59,Tabelle1!$A$4:$BU$73,37,0)&lt;&gt;"",AJ$1,"")</f>
        <v/>
      </c>
      <c r="AK59" t="str">
        <f>IF(VLOOKUP($A59,Tabelle1!$A$4:$BU$73,38,0)&lt;&gt;"",AK$1,"")</f>
        <v/>
      </c>
      <c r="AL59" t="str">
        <f>IF(VLOOKUP($A59,Tabelle1!$A$4:$BU$73,39,0)&lt;&gt;"",AL$1,"")</f>
        <v/>
      </c>
      <c r="AM59" t="str">
        <f>IF(VLOOKUP($A59,Tabelle1!$A$4:$BU$73,40,0)&lt;&gt;"",AM$1,"")</f>
        <v>Saatwicke / Sommerwicke</v>
      </c>
      <c r="AN59" t="str">
        <f>IF(VLOOKUP($A59,Tabelle1!$A$4:$BU$73,41,0)&lt;&gt;"",AN$1,"")</f>
        <v/>
      </c>
      <c r="AO59" t="str">
        <f>IF(VLOOKUP($A59,Tabelle1!$A$4:$BU$73,42,0)&lt;&gt;"",AO$1,"")</f>
        <v>Sandhafer / Rauhafer</v>
      </c>
      <c r="AP59" t="str">
        <f>IF(VLOOKUP($A59,Tabelle1!$A$4:$BU$73,43,0)&lt;&gt;"",AP$1,"")</f>
        <v/>
      </c>
      <c r="AQ59" t="str">
        <f>IF(VLOOKUP($A59,Tabelle1!$A$4:$BU$73,44,0)&lt;&gt;"",AQ$1,"")</f>
        <v/>
      </c>
      <c r="AR59" t="str">
        <f>IF(VLOOKUP($A59,Tabelle1!$A$4:$BU$73,45,0)&lt;&gt;"",AR$1,"")</f>
        <v/>
      </c>
      <c r="AS59" t="str">
        <f>IF(VLOOKUP($A59,Tabelle1!$A$4:$BU$73,46,0)&lt;&gt;"",AS$1,"")</f>
        <v/>
      </c>
      <c r="AT59" t="str">
        <f>IF(VLOOKUP($A59,Tabelle1!$A$4:$BU$73,47,0)&lt;&gt;"",AT$1,"")</f>
        <v/>
      </c>
      <c r="AU59" t="str">
        <f>IF(VLOOKUP($A59,Tabelle1!$A$4:$BU$73,48,0)&lt;&gt;"",AU$1,"")</f>
        <v/>
      </c>
      <c r="AV59" t="str">
        <f>IF(VLOOKUP($A59,Tabelle1!$A$4:$BU$73,49,0)&lt;&gt;"",AV$1,"")</f>
        <v/>
      </c>
      <c r="AW59" t="str">
        <f>IF(VLOOKUP($A59,Tabelle1!$A$4:$BU$73,50,0)&lt;&gt;"",AW$1,"")</f>
        <v/>
      </c>
      <c r="AX59" t="str">
        <f>IF(VLOOKUP($A59,Tabelle1!$A$4:$BU$73,51,0)&lt;&gt;"",AX$1,"")</f>
        <v/>
      </c>
      <c r="AY59" t="str">
        <f>IF(VLOOKUP($A59,Tabelle1!$A$4:$BU$73,52,0)&lt;&gt;"",AY$1,"")</f>
        <v/>
      </c>
      <c r="AZ59" t="str">
        <f>IF(VLOOKUP($A59,Tabelle1!$A$4:$BU$73,53,0)&lt;&gt;"",AZ$1,"")</f>
        <v/>
      </c>
      <c r="BA59" t="str">
        <f>IF(VLOOKUP($A59,Tabelle1!$A$4:$BU$73,54,0)&lt;&gt;"",BA$1,"")</f>
        <v/>
      </c>
      <c r="BB59" t="str">
        <f>IF(VLOOKUP($A59,Tabelle1!$A$4:$BU$73,55,0)&lt;&gt;"",BB$1,"")</f>
        <v/>
      </c>
      <c r="BC59" t="str">
        <f>IF(VLOOKUP($A59,Tabelle1!$A$4:$BU$73,56,0)&lt;&gt;"",BC$1,"")</f>
        <v/>
      </c>
      <c r="BD59" t="str">
        <f>IF(VLOOKUP($A59,Tabelle1!$A$4:$BU$73,57,0)&lt;&gt;"",BD$1,"")</f>
        <v/>
      </c>
      <c r="BE59" t="str">
        <f>IF(VLOOKUP($A59,Tabelle1!$A$4:$BU$73,58,0)&lt;&gt;"",BE$1,"")</f>
        <v/>
      </c>
      <c r="BF59" t="str">
        <f>IF(VLOOKUP($A59,Tabelle1!$A$4:$BU$73,59,0)&lt;&gt;"",BF$1,"")</f>
        <v/>
      </c>
      <c r="BG59" t="str">
        <f>IF(VLOOKUP($A59,Tabelle1!$A$4:$BU$73,60,0)&lt;&gt;"",BG$1,"")</f>
        <v/>
      </c>
      <c r="BH59" t="str">
        <f>IF(VLOOKUP($A59,Tabelle1!$A$4:$BU$73,61,0)&lt;&gt;"",BH$1,"")</f>
        <v>Seradella</v>
      </c>
      <c r="BI59" t="str">
        <f>IF(VLOOKUP($A59,Tabelle1!$A$4:$BU$73,62,0)&lt;&gt;"",BI$1,"")</f>
        <v/>
      </c>
      <c r="BJ59" t="str">
        <f>IF(VLOOKUP($A59,Tabelle1!$A$4:$BU$73,63,0)&lt;&gt;"",BJ$1,"")</f>
        <v/>
      </c>
      <c r="BK59" t="str">
        <f>IF(VLOOKUP($A59,Tabelle1!$A$4:$BU$73,64,0)&lt;&gt;"",BK$1,"")</f>
        <v/>
      </c>
      <c r="BL59" t="str">
        <f>IF(VLOOKUP($A59,Tabelle1!$A$4:$BU$73,65,0)&lt;&gt;"",BL$1,"")</f>
        <v/>
      </c>
      <c r="BM59" t="str">
        <f>IF(VLOOKUP($A59,Tabelle1!$A$4:$BU$73,66,0)&lt;&gt;"",BM$1,"")</f>
        <v/>
      </c>
      <c r="BN59" t="str">
        <f>IF(VLOOKUP($A59,Tabelle1!$A$4:$BU$73,67,0)&lt;&gt;"",BN$1,"")</f>
        <v/>
      </c>
      <c r="BO59" t="str">
        <f>IF(VLOOKUP($A59,Tabelle1!$A$4:$BU$73,68,0)&lt;&gt;"",BO$1,"")</f>
        <v/>
      </c>
      <c r="BP59" t="str">
        <f>IF(VLOOKUP($A59,Tabelle1!$A$4:$BU$73,69,0)&lt;&gt;"",BP$1,"")</f>
        <v/>
      </c>
      <c r="BQ59" t="str">
        <f>IF(VLOOKUP($A59,Tabelle1!$A$4:$BU$73,70,0)&lt;&gt;"",BQ$1,"")</f>
        <v/>
      </c>
      <c r="BR59" t="str">
        <f>IF(VLOOKUP($A59,Tabelle1!$A$4:$BU$73,71,0)&lt;&gt;"",BR$1,"")</f>
        <v/>
      </c>
      <c r="BS59" t="str">
        <f>IF(VLOOKUP($A59,Tabelle1!$A$4:$BU$73,72,0)&lt;&gt;"",BS$1,"")</f>
        <v/>
      </c>
      <c r="BT59" t="str">
        <f>IF(VLOOKUP($A59,Tabelle1!$A$4:$BU$73,73,0)&lt;&gt;"",BT$1,"")</f>
        <v/>
      </c>
    </row>
    <row r="60" spans="1:72" x14ac:dyDescent="0.2">
      <c r="A60" t="s">
        <v>712</v>
      </c>
      <c r="B60">
        <v>35</v>
      </c>
      <c r="C60">
        <v>3.11</v>
      </c>
      <c r="D60" t="str">
        <f>IF(VLOOKUP($A60,Tabelle1!$A$4:$BU$73,5,0)&lt;&gt;"",D$1,"")</f>
        <v/>
      </c>
      <c r="E60" t="str">
        <f>IF(VLOOKUP($A60,Tabelle1!$A$4:$BU$73,6,0)&lt;&gt;"",E$1,"")</f>
        <v/>
      </c>
      <c r="F60" t="str">
        <f>IF(VLOOKUP($A60,Tabelle1!$A$4:$BU$73,7,0)&lt;&gt;"",F$1,"")</f>
        <v>Alexandrinerklee</v>
      </c>
      <c r="G60" t="str">
        <f>IF(VLOOKUP($A60,Tabelle1!$A$4:$BU$73,8,0)&lt;&gt;"",G$1,"")</f>
        <v/>
      </c>
      <c r="H60" t="str">
        <f>IF(VLOOKUP($A60,Tabelle1!$A$4:$BU$73,9,0)&lt;&gt;"",H$1,"")</f>
        <v/>
      </c>
      <c r="I60" t="str">
        <f>IF(VLOOKUP($A60,Tabelle1!$A$4:$BU$73,10,0)&lt;&gt;"",I$1,"")</f>
        <v/>
      </c>
      <c r="J60" t="str">
        <f>IF(VLOOKUP($A60,Tabelle1!$A$4:$BU$73,11,0)&lt;&gt;"",J$1,"")</f>
        <v/>
      </c>
      <c r="K60" t="str">
        <f>IF(VLOOKUP($A60,Tabelle1!$A$4:$BU$73,12,0)&lt;&gt;"",K$1,"")</f>
        <v/>
      </c>
      <c r="L60" t="str">
        <f>IF(VLOOKUP($A60,Tabelle1!$A$4:$BU$73,13,0)&lt;&gt;"",L$1,"")</f>
        <v/>
      </c>
      <c r="M60" t="str">
        <f>IF(VLOOKUP($A60,Tabelle1!$A$4:$BU$73,14,0)&lt;&gt;"",M$1,"")</f>
        <v>Futtererbse</v>
      </c>
      <c r="N60" t="str">
        <f>IF(VLOOKUP($A60,Tabelle1!$A$4:$BU$73,15,0)&lt;&gt;"",N$1,"")</f>
        <v/>
      </c>
      <c r="O60" t="str">
        <f>IF(VLOOKUP($A60,Tabelle1!$A$4:$BU$73,16,0)&lt;&gt;"",O$1,"")</f>
        <v/>
      </c>
      <c r="P60" t="str">
        <f>IF(VLOOKUP($A60,Tabelle1!$A$4:$BU$73,17,0)&lt;&gt;"",P$1,"")</f>
        <v/>
      </c>
      <c r="Q60" t="str">
        <f>IF(VLOOKUP($A60,Tabelle1!$A$4:$BU$73,18,0)&lt;&gt;"",Q$1,"")</f>
        <v/>
      </c>
      <c r="R60" t="str">
        <f>IF(VLOOKUP($A60,Tabelle1!$A$4:$BU$73,19,0)&lt;&gt;"",R$1,"")</f>
        <v/>
      </c>
      <c r="S60" t="str">
        <f>IF(VLOOKUP($A60,Tabelle1!$A$4:$BU$73,20,0)&lt;&gt;"",S$1,"")</f>
        <v/>
      </c>
      <c r="T60" t="str">
        <f>IF(VLOOKUP($A60,Tabelle1!$A$4:$BU$73,21,0)&lt;&gt;"",T$1,"")</f>
        <v/>
      </c>
      <c r="U60" t="str">
        <f>IF(VLOOKUP($A60,Tabelle1!$A$4:$BU$73,22,0)&lt;&gt;"",U$1,"")</f>
        <v/>
      </c>
      <c r="V60" t="str">
        <f>IF(VLOOKUP($A60,Tabelle1!$A$4:$BU$73,23,0)&lt;&gt;"",V$1,"")</f>
        <v/>
      </c>
      <c r="W60" t="str">
        <f>IF(VLOOKUP($A60,Tabelle1!$A$4:$BU$73,24,0)&lt;&gt;"",W$1,"")</f>
        <v/>
      </c>
      <c r="X60" t="str">
        <f>IF(VLOOKUP($A60,Tabelle1!$A$4:$BU$73,25,0)&lt;&gt;"",X$1,"")</f>
        <v/>
      </c>
      <c r="Y60" t="str">
        <f>IF(VLOOKUP($A60,Tabelle1!$A$4:$BU$73,26,0)&lt;&gt;"",Y$1,"")</f>
        <v/>
      </c>
      <c r="Z60" t="str">
        <f>IF(VLOOKUP($A60,Tabelle1!$A$4:$BU$73,27,0)&lt;&gt;"",Z$1,"")</f>
        <v/>
      </c>
      <c r="AA60" t="str">
        <f>IF(VLOOKUP($A60,Tabelle1!$A$4:$BU$73,28,0)&lt;&gt;"",AA$1,"")</f>
        <v/>
      </c>
      <c r="AB60" t="str">
        <f>IF(VLOOKUP($A60,Tabelle1!$A$4:$BU$73,29,0)&lt;&gt;"",AB$1,"")</f>
        <v/>
      </c>
      <c r="AC60" t="str">
        <f>IF(VLOOKUP($A60,Tabelle1!$A$4:$BU$73,30,0)&lt;&gt;"",AC$1,"")</f>
        <v>Schwarzsamen/Ramtilkraut/Gingellikraut/Mungo</v>
      </c>
      <c r="AD60" t="str">
        <f>IF(VLOOKUP($A60,Tabelle1!$A$4:$BU$73,31,0)&lt;&gt;"",AD$1,"")</f>
        <v>Öllein</v>
      </c>
      <c r="AE60" t="str">
        <f>IF(VLOOKUP($A60,Tabelle1!$A$4:$BU$73,32,0)&lt;&gt;"",AE$1,"")</f>
        <v/>
      </c>
      <c r="AF60" t="str">
        <f>IF(VLOOKUP($A60,Tabelle1!$A$4:$BU$73,33,0)&lt;&gt;"",AF$1,"")</f>
        <v/>
      </c>
      <c r="AG60" t="str">
        <f>IF(VLOOKUP($A60,Tabelle1!$A$4:$BU$73,34,0)&lt;&gt;"",AG$1,"")</f>
        <v>Persischer Klee</v>
      </c>
      <c r="AH60" t="str">
        <f>IF(VLOOKUP($A60,Tabelle1!$A$4:$BU$73,35,0)&lt;&gt;"",AH$1,"")</f>
        <v/>
      </c>
      <c r="AI60" t="str">
        <f>IF(VLOOKUP($A60,Tabelle1!$A$4:$BU$73,36,0)&lt;&gt;"",AI$1,"")</f>
        <v/>
      </c>
      <c r="AJ60" t="str">
        <f>IF(VLOOKUP($A60,Tabelle1!$A$4:$BU$73,37,0)&lt;&gt;"",AJ$1,"")</f>
        <v/>
      </c>
      <c r="AK60" t="str">
        <f>IF(VLOOKUP($A60,Tabelle1!$A$4:$BU$73,38,0)&lt;&gt;"",AK$1,"")</f>
        <v/>
      </c>
      <c r="AL60" t="str">
        <f>IF(VLOOKUP($A60,Tabelle1!$A$4:$BU$73,39,0)&lt;&gt;"",AL$1,"")</f>
        <v/>
      </c>
      <c r="AM60" t="str">
        <f>IF(VLOOKUP($A60,Tabelle1!$A$4:$BU$73,40,0)&lt;&gt;"",AM$1,"")</f>
        <v>Saatwicke / Sommerwicke</v>
      </c>
      <c r="AN60" t="str">
        <f>IF(VLOOKUP($A60,Tabelle1!$A$4:$BU$73,41,0)&lt;&gt;"",AN$1,"")</f>
        <v/>
      </c>
      <c r="AO60" t="str">
        <f>IF(VLOOKUP($A60,Tabelle1!$A$4:$BU$73,42,0)&lt;&gt;"",AO$1,"")</f>
        <v>Sandhafer / Rauhafer</v>
      </c>
      <c r="AP60" t="str">
        <f>IF(VLOOKUP($A60,Tabelle1!$A$4:$BU$73,43,0)&lt;&gt;"",AP$1,"")</f>
        <v/>
      </c>
      <c r="AQ60" t="str">
        <f>IF(VLOOKUP($A60,Tabelle1!$A$4:$BU$73,44,0)&lt;&gt;"",AQ$1,"")</f>
        <v/>
      </c>
      <c r="AR60" t="str">
        <f>IF(VLOOKUP($A60,Tabelle1!$A$4:$BU$73,45,0)&lt;&gt;"",AR$1,"")</f>
        <v/>
      </c>
      <c r="AS60" t="str">
        <f>IF(VLOOKUP($A60,Tabelle1!$A$4:$BU$73,46,0)&lt;&gt;"",AS$1,"")</f>
        <v/>
      </c>
      <c r="AT60" t="str">
        <f>IF(VLOOKUP($A60,Tabelle1!$A$4:$BU$73,47,0)&lt;&gt;"",AT$1,"")</f>
        <v/>
      </c>
      <c r="AU60" t="str">
        <f>IF(VLOOKUP($A60,Tabelle1!$A$4:$BU$73,48,0)&lt;&gt;"",AU$1,"")</f>
        <v/>
      </c>
      <c r="AV60" t="str">
        <f>IF(VLOOKUP($A60,Tabelle1!$A$4:$BU$73,49,0)&lt;&gt;"",AV$1,"")</f>
        <v/>
      </c>
      <c r="AW60" t="str">
        <f>IF(VLOOKUP($A60,Tabelle1!$A$4:$BU$73,50,0)&lt;&gt;"",AW$1,"")</f>
        <v/>
      </c>
      <c r="AX60" t="str">
        <f>IF(VLOOKUP($A60,Tabelle1!$A$4:$BU$73,51,0)&lt;&gt;"",AX$1,"")</f>
        <v/>
      </c>
      <c r="AY60" t="str">
        <f>IF(VLOOKUP($A60,Tabelle1!$A$4:$BU$73,52,0)&lt;&gt;"",AY$1,"")</f>
        <v/>
      </c>
      <c r="AZ60" t="str">
        <f>IF(VLOOKUP($A60,Tabelle1!$A$4:$BU$73,53,0)&lt;&gt;"",AZ$1,"")</f>
        <v/>
      </c>
      <c r="BA60" t="str">
        <f>IF(VLOOKUP($A60,Tabelle1!$A$4:$BU$73,54,0)&lt;&gt;"",BA$1,"")</f>
        <v/>
      </c>
      <c r="BB60" t="str">
        <f>IF(VLOOKUP($A60,Tabelle1!$A$4:$BU$73,55,0)&lt;&gt;"",BB$1,"")</f>
        <v/>
      </c>
      <c r="BC60" t="str">
        <f>IF(VLOOKUP($A60,Tabelle1!$A$4:$BU$73,56,0)&lt;&gt;"",BC$1,"")</f>
        <v/>
      </c>
      <c r="BD60" t="str">
        <f>IF(VLOOKUP($A60,Tabelle1!$A$4:$BU$73,57,0)&lt;&gt;"",BD$1,"")</f>
        <v/>
      </c>
      <c r="BE60" t="str">
        <f>IF(VLOOKUP($A60,Tabelle1!$A$4:$BU$73,58,0)&lt;&gt;"",BE$1,"")</f>
        <v/>
      </c>
      <c r="BF60" t="str">
        <f>IF(VLOOKUP($A60,Tabelle1!$A$4:$BU$73,59,0)&lt;&gt;"",BF$1,"")</f>
        <v/>
      </c>
      <c r="BG60" t="str">
        <f>IF(VLOOKUP($A60,Tabelle1!$A$4:$BU$73,60,0)&lt;&gt;"",BG$1,"")</f>
        <v/>
      </c>
      <c r="BH60" t="str">
        <f>IF(VLOOKUP($A60,Tabelle1!$A$4:$BU$73,61,0)&lt;&gt;"",BH$1,"")</f>
        <v>Seradella</v>
      </c>
      <c r="BI60" t="str">
        <f>IF(VLOOKUP($A60,Tabelle1!$A$4:$BU$73,62,0)&lt;&gt;"",BI$1,"")</f>
        <v/>
      </c>
      <c r="BJ60" t="str">
        <f>IF(VLOOKUP($A60,Tabelle1!$A$4:$BU$73,63,0)&lt;&gt;"",BJ$1,"")</f>
        <v/>
      </c>
      <c r="BK60" t="str">
        <f>IF(VLOOKUP($A60,Tabelle1!$A$4:$BU$73,64,0)&lt;&gt;"",BK$1,"")</f>
        <v/>
      </c>
      <c r="BL60" t="str">
        <f>IF(VLOOKUP($A60,Tabelle1!$A$4:$BU$73,65,0)&lt;&gt;"",BL$1,"")</f>
        <v/>
      </c>
      <c r="BM60" t="str">
        <f>IF(VLOOKUP($A60,Tabelle1!$A$4:$BU$73,66,0)&lt;&gt;"",BM$1,"")</f>
        <v/>
      </c>
      <c r="BN60" t="str">
        <f>IF(VLOOKUP($A60,Tabelle1!$A$4:$BU$73,67,0)&lt;&gt;"",BN$1,"")</f>
        <v/>
      </c>
      <c r="BO60" t="str">
        <f>IF(VLOOKUP($A60,Tabelle1!$A$4:$BU$73,68,0)&lt;&gt;"",BO$1,"")</f>
        <v/>
      </c>
      <c r="BP60" t="str">
        <f>IF(VLOOKUP($A60,Tabelle1!$A$4:$BU$73,69,0)&lt;&gt;"",BP$1,"")</f>
        <v/>
      </c>
      <c r="BQ60" t="str">
        <f>IF(VLOOKUP($A60,Tabelle1!$A$4:$BU$73,70,0)&lt;&gt;"",BQ$1,"")</f>
        <v/>
      </c>
      <c r="BR60" t="str">
        <f>IF(VLOOKUP($A60,Tabelle1!$A$4:$BU$73,71,0)&lt;&gt;"",BR$1,"")</f>
        <v/>
      </c>
      <c r="BS60" t="str">
        <f>IF(VLOOKUP($A60,Tabelle1!$A$4:$BU$73,72,0)&lt;&gt;"",BS$1,"")</f>
        <v/>
      </c>
      <c r="BT60" t="str">
        <f>IF(VLOOKUP($A60,Tabelle1!$A$4:$BU$73,73,0)&lt;&gt;"",BT$1,"")</f>
        <v/>
      </c>
    </row>
    <row r="61" spans="1:72" x14ac:dyDescent="0.2">
      <c r="A61" t="s">
        <v>512</v>
      </c>
      <c r="B61">
        <v>55</v>
      </c>
      <c r="C61">
        <v>3</v>
      </c>
      <c r="D61" t="str">
        <f>IF(VLOOKUP($A61,Tabelle1!$A$4:$BU$73,5,0)&lt;&gt;"",D$1,"")</f>
        <v/>
      </c>
      <c r="E61" t="str">
        <f>IF(VLOOKUP($A61,Tabelle1!$A$4:$BU$73,6,0)&lt;&gt;"",E$1,"")</f>
        <v/>
      </c>
      <c r="F61" t="str">
        <f>IF(VLOOKUP($A61,Tabelle1!$A$4:$BU$73,7,0)&lt;&gt;"",F$1,"")</f>
        <v>Alexandrinerklee</v>
      </c>
      <c r="G61" t="str">
        <f>IF(VLOOKUP($A61,Tabelle1!$A$4:$BU$73,8,0)&lt;&gt;"",G$1,"")</f>
        <v/>
      </c>
      <c r="H61" t="str">
        <f>IF(VLOOKUP($A61,Tabelle1!$A$4:$BU$73,9,0)&lt;&gt;"",H$1,"")</f>
        <v>Lupine</v>
      </c>
      <c r="I61" t="str">
        <f>IF(VLOOKUP($A61,Tabelle1!$A$4:$BU$73,10,0)&lt;&gt;"",I$1,"")</f>
        <v/>
      </c>
      <c r="J61" t="str">
        <f>IF(VLOOKUP($A61,Tabelle1!$A$4:$BU$73,11,0)&lt;&gt;"",J$1,"")</f>
        <v/>
      </c>
      <c r="K61" t="str">
        <f>IF(VLOOKUP($A61,Tabelle1!$A$4:$BU$73,12,0)&lt;&gt;"",K$1,"")</f>
        <v/>
      </c>
      <c r="L61" t="str">
        <f>IF(VLOOKUP($A61,Tabelle1!$A$4:$BU$73,13,0)&lt;&gt;"",L$1,"")</f>
        <v/>
      </c>
      <c r="M61" t="str">
        <f>IF(VLOOKUP($A61,Tabelle1!$A$4:$BU$73,14,0)&lt;&gt;"",M$1,"")</f>
        <v>Futtererbse</v>
      </c>
      <c r="N61" t="str">
        <f>IF(VLOOKUP($A61,Tabelle1!$A$4:$BU$73,15,0)&lt;&gt;"",N$1,"")</f>
        <v/>
      </c>
      <c r="O61" t="str">
        <f>IF(VLOOKUP($A61,Tabelle1!$A$4:$BU$73,16,0)&lt;&gt;"",O$1,"")</f>
        <v/>
      </c>
      <c r="P61" t="str">
        <f>IF(VLOOKUP($A61,Tabelle1!$A$4:$BU$73,17,0)&lt;&gt;"",P$1,"")</f>
        <v/>
      </c>
      <c r="Q61" t="str">
        <f>IF(VLOOKUP($A61,Tabelle1!$A$4:$BU$73,18,0)&lt;&gt;"",Q$1,"")</f>
        <v/>
      </c>
      <c r="R61" t="str">
        <f>IF(VLOOKUP($A61,Tabelle1!$A$4:$BU$73,19,0)&lt;&gt;"",R$1,"")</f>
        <v/>
      </c>
      <c r="S61" t="str">
        <f>IF(VLOOKUP($A61,Tabelle1!$A$4:$BU$73,20,0)&lt;&gt;"",S$1,"")</f>
        <v/>
      </c>
      <c r="T61" t="str">
        <f>IF(VLOOKUP($A61,Tabelle1!$A$4:$BU$73,21,0)&lt;&gt;"",T$1,"")</f>
        <v/>
      </c>
      <c r="U61" t="str">
        <f>IF(VLOOKUP($A61,Tabelle1!$A$4:$BU$73,22,0)&lt;&gt;"",U$1,"")</f>
        <v/>
      </c>
      <c r="V61" t="str">
        <f>IF(VLOOKUP($A61,Tabelle1!$A$4:$BU$73,23,0)&lt;&gt;"",V$1,"")</f>
        <v/>
      </c>
      <c r="W61" t="str">
        <f>IF(VLOOKUP($A61,Tabelle1!$A$4:$BU$73,24,0)&lt;&gt;"",W$1,"")</f>
        <v/>
      </c>
      <c r="X61" t="str">
        <f>IF(VLOOKUP($A61,Tabelle1!$A$4:$BU$73,25,0)&lt;&gt;"",X$1,"")</f>
        <v/>
      </c>
      <c r="Y61" t="str">
        <f>IF(VLOOKUP($A61,Tabelle1!$A$4:$BU$73,26,0)&lt;&gt;"",Y$1,"")</f>
        <v/>
      </c>
      <c r="Z61" t="str">
        <f>IF(VLOOKUP($A61,Tabelle1!$A$4:$BU$73,27,0)&lt;&gt;"",Z$1,"")</f>
        <v/>
      </c>
      <c r="AA61" t="str">
        <f>IF(VLOOKUP($A61,Tabelle1!$A$4:$BU$73,28,0)&lt;&gt;"",AA$1,"")</f>
        <v/>
      </c>
      <c r="AB61" t="str">
        <f>IF(VLOOKUP($A61,Tabelle1!$A$4:$BU$73,29,0)&lt;&gt;"",AB$1,"")</f>
        <v/>
      </c>
      <c r="AC61" t="str">
        <f>IF(VLOOKUP($A61,Tabelle1!$A$4:$BU$73,30,0)&lt;&gt;"",AC$1,"")</f>
        <v>Schwarzsamen/Ramtilkraut/Gingellikraut/Mungo</v>
      </c>
      <c r="AD61" t="str">
        <f>IF(VLOOKUP($A61,Tabelle1!$A$4:$BU$73,31,0)&lt;&gt;"",AD$1,"")</f>
        <v>Öllein</v>
      </c>
      <c r="AE61" t="str">
        <f>IF(VLOOKUP($A61,Tabelle1!$A$4:$BU$73,32,0)&lt;&gt;"",AE$1,"")</f>
        <v/>
      </c>
      <c r="AF61" t="str">
        <f>IF(VLOOKUP($A61,Tabelle1!$A$4:$BU$73,33,0)&lt;&gt;"",AF$1,"")</f>
        <v/>
      </c>
      <c r="AG61" t="str">
        <f>IF(VLOOKUP($A61,Tabelle1!$A$4:$BU$73,34,0)&lt;&gt;"",AG$1,"")</f>
        <v>Persischer Klee</v>
      </c>
      <c r="AH61" t="str">
        <f>IF(VLOOKUP($A61,Tabelle1!$A$4:$BU$73,35,0)&lt;&gt;"",AH$1,"")</f>
        <v/>
      </c>
      <c r="AI61" t="str">
        <f>IF(VLOOKUP($A61,Tabelle1!$A$4:$BU$73,36,0)&lt;&gt;"",AI$1,"")</f>
        <v/>
      </c>
      <c r="AJ61" t="str">
        <f>IF(VLOOKUP($A61,Tabelle1!$A$4:$BU$73,37,0)&lt;&gt;"",AJ$1,"")</f>
        <v/>
      </c>
      <c r="AK61" t="str">
        <f>IF(VLOOKUP($A61,Tabelle1!$A$4:$BU$73,38,0)&lt;&gt;"",AK$1,"")</f>
        <v/>
      </c>
      <c r="AL61" t="str">
        <f>IF(VLOOKUP($A61,Tabelle1!$A$4:$BU$73,39,0)&lt;&gt;"",AL$1,"")</f>
        <v/>
      </c>
      <c r="AM61" t="str">
        <f>IF(VLOOKUP($A61,Tabelle1!$A$4:$BU$73,40,0)&lt;&gt;"",AM$1,"")</f>
        <v>Saatwicke / Sommerwicke</v>
      </c>
      <c r="AN61" t="str">
        <f>IF(VLOOKUP($A61,Tabelle1!$A$4:$BU$73,41,0)&lt;&gt;"",AN$1,"")</f>
        <v/>
      </c>
      <c r="AO61" t="str">
        <f>IF(VLOOKUP($A61,Tabelle1!$A$4:$BU$73,42,0)&lt;&gt;"",AO$1,"")</f>
        <v>Sandhafer / Rauhafer</v>
      </c>
      <c r="AP61" t="str">
        <f>IF(VLOOKUP($A61,Tabelle1!$A$4:$BU$73,43,0)&lt;&gt;"",AP$1,"")</f>
        <v/>
      </c>
      <c r="AQ61" t="str">
        <f>IF(VLOOKUP($A61,Tabelle1!$A$4:$BU$73,44,0)&lt;&gt;"",AQ$1,"")</f>
        <v/>
      </c>
      <c r="AR61" t="str">
        <f>IF(VLOOKUP($A61,Tabelle1!$A$4:$BU$73,45,0)&lt;&gt;"",AR$1,"")</f>
        <v/>
      </c>
      <c r="AS61" t="str">
        <f>IF(VLOOKUP($A61,Tabelle1!$A$4:$BU$73,46,0)&lt;&gt;"",AS$1,"")</f>
        <v/>
      </c>
      <c r="AT61" t="str">
        <f>IF(VLOOKUP($A61,Tabelle1!$A$4:$BU$73,47,0)&lt;&gt;"",AT$1,"")</f>
        <v/>
      </c>
      <c r="AU61" t="str">
        <f>IF(VLOOKUP($A61,Tabelle1!$A$4:$BU$73,48,0)&lt;&gt;"",AU$1,"")</f>
        <v/>
      </c>
      <c r="AV61" t="str">
        <f>IF(VLOOKUP($A61,Tabelle1!$A$4:$BU$73,49,0)&lt;&gt;"",AV$1,"")</f>
        <v/>
      </c>
      <c r="AW61" t="str">
        <f>IF(VLOOKUP($A61,Tabelle1!$A$4:$BU$73,50,0)&lt;&gt;"",AW$1,"")</f>
        <v/>
      </c>
      <c r="AX61" t="str">
        <f>IF(VLOOKUP($A61,Tabelle1!$A$4:$BU$73,51,0)&lt;&gt;"",AX$1,"")</f>
        <v/>
      </c>
      <c r="AY61" t="str">
        <f>IF(VLOOKUP($A61,Tabelle1!$A$4:$BU$73,52,0)&lt;&gt;"",AY$1,"")</f>
        <v/>
      </c>
      <c r="AZ61" t="str">
        <f>IF(VLOOKUP($A61,Tabelle1!$A$4:$BU$73,53,0)&lt;&gt;"",AZ$1,"")</f>
        <v/>
      </c>
      <c r="BA61" t="str">
        <f>IF(VLOOKUP($A61,Tabelle1!$A$4:$BU$73,54,0)&lt;&gt;"",BA$1,"")</f>
        <v/>
      </c>
      <c r="BB61" t="str">
        <f>IF(VLOOKUP($A61,Tabelle1!$A$4:$BU$73,55,0)&lt;&gt;"",BB$1,"")</f>
        <v/>
      </c>
      <c r="BC61" t="str">
        <f>IF(VLOOKUP($A61,Tabelle1!$A$4:$BU$73,56,0)&lt;&gt;"",BC$1,"")</f>
        <v/>
      </c>
      <c r="BD61" t="str">
        <f>IF(VLOOKUP($A61,Tabelle1!$A$4:$BU$73,57,0)&lt;&gt;"",BD$1,"")</f>
        <v/>
      </c>
      <c r="BE61" t="str">
        <f>IF(VLOOKUP($A61,Tabelle1!$A$4:$BU$73,58,0)&lt;&gt;"",BE$1,"")</f>
        <v/>
      </c>
      <c r="BF61" t="str">
        <f>IF(VLOOKUP($A61,Tabelle1!$A$4:$BU$73,59,0)&lt;&gt;"",BF$1,"")</f>
        <v/>
      </c>
      <c r="BG61" t="str">
        <f>IF(VLOOKUP($A61,Tabelle1!$A$4:$BU$73,60,0)&lt;&gt;"",BG$1,"")</f>
        <v/>
      </c>
      <c r="BH61" t="str">
        <f>IF(VLOOKUP($A61,Tabelle1!$A$4:$BU$73,61,0)&lt;&gt;"",BH$1,"")</f>
        <v>Seradella</v>
      </c>
      <c r="BI61" t="str">
        <f>IF(VLOOKUP($A61,Tabelle1!$A$4:$BU$73,62,0)&lt;&gt;"",BI$1,"")</f>
        <v/>
      </c>
      <c r="BJ61" t="str">
        <f>IF(VLOOKUP($A61,Tabelle1!$A$4:$BU$73,63,0)&lt;&gt;"",BJ$1,"")</f>
        <v/>
      </c>
      <c r="BK61" t="str">
        <f>IF(VLOOKUP($A61,Tabelle1!$A$4:$BU$73,64,0)&lt;&gt;"",BK$1,"")</f>
        <v/>
      </c>
      <c r="BL61" t="str">
        <f>IF(VLOOKUP($A61,Tabelle1!$A$4:$BU$73,65,0)&lt;&gt;"",BL$1,"")</f>
        <v/>
      </c>
      <c r="BM61" t="str">
        <f>IF(VLOOKUP($A61,Tabelle1!$A$4:$BU$73,66,0)&lt;&gt;"",BM$1,"")</f>
        <v/>
      </c>
      <c r="BN61" t="str">
        <f>IF(VLOOKUP($A61,Tabelle1!$A$4:$BU$73,67,0)&lt;&gt;"",BN$1,"")</f>
        <v/>
      </c>
      <c r="BO61" t="str">
        <f>IF(VLOOKUP($A61,Tabelle1!$A$4:$BU$73,68,0)&lt;&gt;"",BO$1,"")</f>
        <v/>
      </c>
      <c r="BP61" t="str">
        <f>IF(VLOOKUP($A61,Tabelle1!$A$4:$BU$73,69,0)&lt;&gt;"",BP$1,"")</f>
        <v/>
      </c>
      <c r="BQ61" t="str">
        <f>IF(VLOOKUP($A61,Tabelle1!$A$4:$BU$73,70,0)&lt;&gt;"",BQ$1,"")</f>
        <v/>
      </c>
      <c r="BR61" t="str">
        <f>IF(VLOOKUP($A61,Tabelle1!$A$4:$BU$73,71,0)&lt;&gt;"",BR$1,"")</f>
        <v/>
      </c>
      <c r="BS61" t="str">
        <f>IF(VLOOKUP($A61,Tabelle1!$A$4:$BU$73,72,0)&lt;&gt;"",BS$1,"")</f>
        <v/>
      </c>
      <c r="BT61" t="str">
        <f>IF(VLOOKUP($A61,Tabelle1!$A$4:$BU$73,73,0)&lt;&gt;"",BT$1,"")</f>
        <v/>
      </c>
    </row>
    <row r="62" spans="1:72" x14ac:dyDescent="0.2">
      <c r="A62" t="s">
        <v>509</v>
      </c>
      <c r="B62">
        <v>45</v>
      </c>
      <c r="C62">
        <v>3.25</v>
      </c>
      <c r="D62" t="str">
        <f>IF(VLOOKUP($A62,Tabelle1!$A$4:$BU$73,5,0)&lt;&gt;"",D$1,"")</f>
        <v/>
      </c>
      <c r="E62" t="str">
        <f>IF(VLOOKUP($A62,Tabelle1!$A$4:$BU$73,6,0)&lt;&gt;"",E$1,"")</f>
        <v/>
      </c>
      <c r="F62" t="str">
        <f>IF(VLOOKUP($A62,Tabelle1!$A$4:$BU$73,7,0)&lt;&gt;"",F$1,"")</f>
        <v>Alexandrinerklee</v>
      </c>
      <c r="G62" t="str">
        <f>IF(VLOOKUP($A62,Tabelle1!$A$4:$BU$73,8,0)&lt;&gt;"",G$1,"")</f>
        <v/>
      </c>
      <c r="H62" t="str">
        <f>IF(VLOOKUP($A62,Tabelle1!$A$4:$BU$73,9,0)&lt;&gt;"",H$1,"")</f>
        <v/>
      </c>
      <c r="I62" t="str">
        <f>IF(VLOOKUP($A62,Tabelle1!$A$4:$BU$73,10,0)&lt;&gt;"",I$1,"")</f>
        <v/>
      </c>
      <c r="J62" t="str">
        <f>IF(VLOOKUP($A62,Tabelle1!$A$4:$BU$73,11,0)&lt;&gt;"",J$1,"")</f>
        <v/>
      </c>
      <c r="K62" t="str">
        <f>IF(VLOOKUP($A62,Tabelle1!$A$4:$BU$73,12,0)&lt;&gt;"",K$1,"")</f>
        <v/>
      </c>
      <c r="L62" t="str">
        <f>IF(VLOOKUP($A62,Tabelle1!$A$4:$BU$73,13,0)&lt;&gt;"",L$1,"")</f>
        <v/>
      </c>
      <c r="M62" t="str">
        <f>IF(VLOOKUP($A62,Tabelle1!$A$4:$BU$73,14,0)&lt;&gt;"",M$1,"")</f>
        <v>Futtererbse</v>
      </c>
      <c r="N62" t="str">
        <f>IF(VLOOKUP($A62,Tabelle1!$A$4:$BU$73,15,0)&lt;&gt;"",N$1,"")</f>
        <v/>
      </c>
      <c r="O62" t="str">
        <f>IF(VLOOKUP($A62,Tabelle1!$A$4:$BU$73,16,0)&lt;&gt;"",O$1,"")</f>
        <v/>
      </c>
      <c r="P62" t="str">
        <f>IF(VLOOKUP($A62,Tabelle1!$A$4:$BU$73,17,0)&lt;&gt;"",P$1,"")</f>
        <v/>
      </c>
      <c r="Q62" t="str">
        <f>IF(VLOOKUP($A62,Tabelle1!$A$4:$BU$73,18,0)&lt;&gt;"",Q$1,"")</f>
        <v/>
      </c>
      <c r="R62" t="str">
        <f>IF(VLOOKUP($A62,Tabelle1!$A$4:$BU$73,19,0)&lt;&gt;"",R$1,"")</f>
        <v/>
      </c>
      <c r="S62" t="str">
        <f>IF(VLOOKUP($A62,Tabelle1!$A$4:$BU$73,20,0)&lt;&gt;"",S$1,"")</f>
        <v/>
      </c>
      <c r="T62" t="str">
        <f>IF(VLOOKUP($A62,Tabelle1!$A$4:$BU$73,21,0)&lt;&gt;"",T$1,"")</f>
        <v/>
      </c>
      <c r="U62" t="str">
        <f>IF(VLOOKUP($A62,Tabelle1!$A$4:$BU$73,22,0)&lt;&gt;"",U$1,"")</f>
        <v/>
      </c>
      <c r="V62" t="str">
        <f>IF(VLOOKUP($A62,Tabelle1!$A$4:$BU$73,23,0)&lt;&gt;"",V$1,"")</f>
        <v/>
      </c>
      <c r="W62" t="str">
        <f>IF(VLOOKUP($A62,Tabelle1!$A$4:$BU$73,24,0)&lt;&gt;"",W$1,"")</f>
        <v/>
      </c>
      <c r="X62" t="str">
        <f>IF(VLOOKUP($A62,Tabelle1!$A$4:$BU$73,25,0)&lt;&gt;"",X$1,"")</f>
        <v/>
      </c>
      <c r="Y62" t="str">
        <f>IF(VLOOKUP($A62,Tabelle1!$A$4:$BU$73,26,0)&lt;&gt;"",Y$1,"")</f>
        <v/>
      </c>
      <c r="Z62" t="str">
        <f>IF(VLOOKUP($A62,Tabelle1!$A$4:$BU$73,27,0)&lt;&gt;"",Z$1,"")</f>
        <v/>
      </c>
      <c r="AA62" t="str">
        <f>IF(VLOOKUP($A62,Tabelle1!$A$4:$BU$73,28,0)&lt;&gt;"",AA$1,"")</f>
        <v/>
      </c>
      <c r="AB62" t="str">
        <f>IF(VLOOKUP($A62,Tabelle1!$A$4:$BU$73,29,0)&lt;&gt;"",AB$1,"")</f>
        <v/>
      </c>
      <c r="AC62" t="str">
        <f>IF(VLOOKUP($A62,Tabelle1!$A$4:$BU$73,30,0)&lt;&gt;"",AC$1,"")</f>
        <v>Schwarzsamen/Ramtilkraut/Gingellikraut/Mungo</v>
      </c>
      <c r="AD62" t="str">
        <f>IF(VLOOKUP($A62,Tabelle1!$A$4:$BU$73,31,0)&lt;&gt;"",AD$1,"")</f>
        <v>Öllein</v>
      </c>
      <c r="AE62" t="str">
        <f>IF(VLOOKUP($A62,Tabelle1!$A$4:$BU$73,32,0)&lt;&gt;"",AE$1,"")</f>
        <v/>
      </c>
      <c r="AF62" t="str">
        <f>IF(VLOOKUP($A62,Tabelle1!$A$4:$BU$73,33,0)&lt;&gt;"",AF$1,"")</f>
        <v/>
      </c>
      <c r="AG62" t="str">
        <f>IF(VLOOKUP($A62,Tabelle1!$A$4:$BU$73,34,0)&lt;&gt;"",AG$1,"")</f>
        <v/>
      </c>
      <c r="AH62" t="str">
        <f>IF(VLOOKUP($A62,Tabelle1!$A$4:$BU$73,35,0)&lt;&gt;"",AH$1,"")</f>
        <v>Phazelie</v>
      </c>
      <c r="AI62" t="str">
        <f>IF(VLOOKUP($A62,Tabelle1!$A$4:$BU$73,36,0)&lt;&gt;"",AI$1,"")</f>
        <v/>
      </c>
      <c r="AJ62" t="str">
        <f>IF(VLOOKUP($A62,Tabelle1!$A$4:$BU$73,37,0)&lt;&gt;"",AJ$1,"")</f>
        <v/>
      </c>
      <c r="AK62" t="str">
        <f>IF(VLOOKUP($A62,Tabelle1!$A$4:$BU$73,38,0)&lt;&gt;"",AK$1,"")</f>
        <v/>
      </c>
      <c r="AL62" t="str">
        <f>IF(VLOOKUP($A62,Tabelle1!$A$4:$BU$73,39,0)&lt;&gt;"",AL$1,"")</f>
        <v/>
      </c>
      <c r="AM62" t="str">
        <f>IF(VLOOKUP($A62,Tabelle1!$A$4:$BU$73,40,0)&lt;&gt;"",AM$1,"")</f>
        <v>Saatwicke / Sommerwicke</v>
      </c>
      <c r="AN62" t="str">
        <f>IF(VLOOKUP($A62,Tabelle1!$A$4:$BU$73,41,0)&lt;&gt;"",AN$1,"")</f>
        <v/>
      </c>
      <c r="AO62" t="str">
        <f>IF(VLOOKUP($A62,Tabelle1!$A$4:$BU$73,42,0)&lt;&gt;"",AO$1,"")</f>
        <v/>
      </c>
      <c r="AP62" t="str">
        <f>IF(VLOOKUP($A62,Tabelle1!$A$4:$BU$73,43,0)&lt;&gt;"",AP$1,"")</f>
        <v/>
      </c>
      <c r="AQ62" t="str">
        <f>IF(VLOOKUP($A62,Tabelle1!$A$4:$BU$73,44,0)&lt;&gt;"",AQ$1,"")</f>
        <v/>
      </c>
      <c r="AR62" t="str">
        <f>IF(VLOOKUP($A62,Tabelle1!$A$4:$BU$73,45,0)&lt;&gt;"",AR$1,"")</f>
        <v/>
      </c>
      <c r="AS62" t="str">
        <f>IF(VLOOKUP($A62,Tabelle1!$A$4:$BU$73,46,0)&lt;&gt;"",AS$1,"")</f>
        <v/>
      </c>
      <c r="AT62" t="str">
        <f>IF(VLOOKUP($A62,Tabelle1!$A$4:$BU$73,47,0)&lt;&gt;"",AT$1,"")</f>
        <v/>
      </c>
      <c r="AU62" t="str">
        <f>IF(VLOOKUP($A62,Tabelle1!$A$4:$BU$73,48,0)&lt;&gt;"",AU$1,"")</f>
        <v>Sonnenblume</v>
      </c>
      <c r="AV62" t="str">
        <f>IF(VLOOKUP($A62,Tabelle1!$A$4:$BU$73,49,0)&lt;&gt;"",AV$1,"")</f>
        <v/>
      </c>
      <c r="AW62" t="str">
        <f>IF(VLOOKUP($A62,Tabelle1!$A$4:$BU$73,50,0)&lt;&gt;"",AW$1,"")</f>
        <v/>
      </c>
      <c r="AX62" t="str">
        <f>IF(VLOOKUP($A62,Tabelle1!$A$4:$BU$73,51,0)&lt;&gt;"",AX$1,"")</f>
        <v>Sudangras</v>
      </c>
      <c r="AY62" t="str">
        <f>IF(VLOOKUP($A62,Tabelle1!$A$4:$BU$73,52,0)&lt;&gt;"",AY$1,"")</f>
        <v/>
      </c>
      <c r="AZ62" t="str">
        <f>IF(VLOOKUP($A62,Tabelle1!$A$4:$BU$73,53,0)&lt;&gt;"",AZ$1,"")</f>
        <v/>
      </c>
      <c r="BA62" t="str">
        <f>IF(VLOOKUP($A62,Tabelle1!$A$4:$BU$73,54,0)&lt;&gt;"",BA$1,"")</f>
        <v/>
      </c>
      <c r="BB62" t="str">
        <f>IF(VLOOKUP($A62,Tabelle1!$A$4:$BU$73,55,0)&lt;&gt;"",BB$1,"")</f>
        <v/>
      </c>
      <c r="BC62" t="str">
        <f>IF(VLOOKUP($A62,Tabelle1!$A$4:$BU$73,56,0)&lt;&gt;"",BC$1,"")</f>
        <v/>
      </c>
      <c r="BD62" t="str">
        <f>IF(VLOOKUP($A62,Tabelle1!$A$4:$BU$73,57,0)&lt;&gt;"",BD$1,"")</f>
        <v/>
      </c>
      <c r="BE62" t="str">
        <f>IF(VLOOKUP($A62,Tabelle1!$A$4:$BU$73,58,0)&lt;&gt;"",BE$1,"")</f>
        <v/>
      </c>
      <c r="BF62" t="str">
        <f>IF(VLOOKUP($A62,Tabelle1!$A$4:$BU$73,59,0)&lt;&gt;"",BF$1,"")</f>
        <v/>
      </c>
      <c r="BG62" t="str">
        <f>IF(VLOOKUP($A62,Tabelle1!$A$4:$BU$73,60,0)&lt;&gt;"",BG$1,"")</f>
        <v/>
      </c>
      <c r="BH62" t="str">
        <f>IF(VLOOKUP($A62,Tabelle1!$A$4:$BU$73,61,0)&lt;&gt;"",BH$1,"")</f>
        <v>Seradella</v>
      </c>
      <c r="BI62" t="str">
        <f>IF(VLOOKUP($A62,Tabelle1!$A$4:$BU$73,62,0)&lt;&gt;"",BI$1,"")</f>
        <v/>
      </c>
      <c r="BJ62" t="str">
        <f>IF(VLOOKUP($A62,Tabelle1!$A$4:$BU$73,63,0)&lt;&gt;"",BJ$1,"")</f>
        <v/>
      </c>
      <c r="BK62" t="str">
        <f>IF(VLOOKUP($A62,Tabelle1!$A$4:$BU$73,64,0)&lt;&gt;"",BK$1,"")</f>
        <v/>
      </c>
      <c r="BL62" t="str">
        <f>IF(VLOOKUP($A62,Tabelle1!$A$4:$BU$73,65,0)&lt;&gt;"",BL$1,"")</f>
        <v/>
      </c>
      <c r="BM62" t="str">
        <f>IF(VLOOKUP($A62,Tabelle1!$A$4:$BU$73,66,0)&lt;&gt;"",BM$1,"")</f>
        <v/>
      </c>
      <c r="BN62" t="str">
        <f>IF(VLOOKUP($A62,Tabelle1!$A$4:$BU$73,67,0)&lt;&gt;"",BN$1,"")</f>
        <v/>
      </c>
      <c r="BO62" t="str">
        <f>IF(VLOOKUP($A62,Tabelle1!$A$4:$BU$73,68,0)&lt;&gt;"",BO$1,"")</f>
        <v/>
      </c>
      <c r="BP62" t="str">
        <f>IF(VLOOKUP($A62,Tabelle1!$A$4:$BU$73,69,0)&lt;&gt;"",BP$1,"")</f>
        <v/>
      </c>
      <c r="BQ62" t="str">
        <f>IF(VLOOKUP($A62,Tabelle1!$A$4:$BU$73,70,0)&lt;&gt;"",BQ$1,"")</f>
        <v/>
      </c>
      <c r="BR62" t="str">
        <f>IF(VLOOKUP($A62,Tabelle1!$A$4:$BU$73,71,0)&lt;&gt;"",BR$1,"")</f>
        <v/>
      </c>
      <c r="BS62" t="str">
        <f>IF(VLOOKUP($A62,Tabelle1!$A$4:$BU$73,72,0)&lt;&gt;"",BS$1,"")</f>
        <v/>
      </c>
      <c r="BT62" t="str">
        <f>IF(VLOOKUP($A62,Tabelle1!$A$4:$BU$73,73,0)&lt;&gt;"",BT$1,"")</f>
        <v/>
      </c>
    </row>
    <row r="63" spans="1:72" x14ac:dyDescent="0.2">
      <c r="A63" t="s">
        <v>714</v>
      </c>
      <c r="B63">
        <v>55</v>
      </c>
      <c r="C63">
        <v>3.27</v>
      </c>
      <c r="D63" t="str">
        <f>IF(VLOOKUP($A63,Tabelle1!$A$4:$BU$73,5,0)&lt;&gt;"",D$1,"")</f>
        <v/>
      </c>
      <c r="E63" t="str">
        <f>IF(VLOOKUP($A63,Tabelle1!$A$4:$BU$73,6,0)&lt;&gt;"",E$1,"")</f>
        <v/>
      </c>
      <c r="F63" t="str">
        <f>IF(VLOOKUP($A63,Tabelle1!$A$4:$BU$73,7,0)&lt;&gt;"",F$1,"")</f>
        <v>Alexandrinerklee</v>
      </c>
      <c r="G63" t="str">
        <f>IF(VLOOKUP($A63,Tabelle1!$A$4:$BU$73,8,0)&lt;&gt;"",G$1,"")</f>
        <v/>
      </c>
      <c r="H63" t="str">
        <f>IF(VLOOKUP($A63,Tabelle1!$A$4:$BU$73,9,0)&lt;&gt;"",H$1,"")</f>
        <v>Lupine</v>
      </c>
      <c r="I63" t="str">
        <f>IF(VLOOKUP($A63,Tabelle1!$A$4:$BU$73,10,0)&lt;&gt;"",I$1,"")</f>
        <v/>
      </c>
      <c r="J63" t="str">
        <f>IF(VLOOKUP($A63,Tabelle1!$A$4:$BU$73,11,0)&lt;&gt;"",J$1,"")</f>
        <v/>
      </c>
      <c r="K63" t="str">
        <f>IF(VLOOKUP($A63,Tabelle1!$A$4:$BU$73,12,0)&lt;&gt;"",K$1,"")</f>
        <v/>
      </c>
      <c r="L63" t="str">
        <f>IF(VLOOKUP($A63,Tabelle1!$A$4:$BU$73,13,0)&lt;&gt;"",L$1,"")</f>
        <v/>
      </c>
      <c r="M63" t="str">
        <f>IF(VLOOKUP($A63,Tabelle1!$A$4:$BU$73,14,0)&lt;&gt;"",M$1,"")</f>
        <v>Futtererbse</v>
      </c>
      <c r="N63" t="str">
        <f>IF(VLOOKUP($A63,Tabelle1!$A$4:$BU$73,15,0)&lt;&gt;"",N$1,"")</f>
        <v/>
      </c>
      <c r="O63" t="str">
        <f>IF(VLOOKUP($A63,Tabelle1!$A$4:$BU$73,16,0)&lt;&gt;"",O$1,"")</f>
        <v/>
      </c>
      <c r="P63" t="str">
        <f>IF(VLOOKUP($A63,Tabelle1!$A$4:$BU$73,17,0)&lt;&gt;"",P$1,"")</f>
        <v/>
      </c>
      <c r="Q63" t="str">
        <f>IF(VLOOKUP($A63,Tabelle1!$A$4:$BU$73,18,0)&lt;&gt;"",Q$1,"")</f>
        <v/>
      </c>
      <c r="R63" t="str">
        <f>IF(VLOOKUP($A63,Tabelle1!$A$4:$BU$73,19,0)&lt;&gt;"",R$1,"")</f>
        <v/>
      </c>
      <c r="S63" t="str">
        <f>IF(VLOOKUP($A63,Tabelle1!$A$4:$BU$73,20,0)&lt;&gt;"",S$1,"")</f>
        <v/>
      </c>
      <c r="T63" t="str">
        <f>IF(VLOOKUP($A63,Tabelle1!$A$4:$BU$73,21,0)&lt;&gt;"",T$1,"")</f>
        <v/>
      </c>
      <c r="U63" t="str">
        <f>IF(VLOOKUP($A63,Tabelle1!$A$4:$BU$73,22,0)&lt;&gt;"",U$1,"")</f>
        <v/>
      </c>
      <c r="V63" t="str">
        <f>IF(VLOOKUP($A63,Tabelle1!$A$4:$BU$73,23,0)&lt;&gt;"",V$1,"")</f>
        <v/>
      </c>
      <c r="W63" t="str">
        <f>IF(VLOOKUP($A63,Tabelle1!$A$4:$BU$73,24,0)&lt;&gt;"",W$1,"")</f>
        <v/>
      </c>
      <c r="X63" t="str">
        <f>IF(VLOOKUP($A63,Tabelle1!$A$4:$BU$73,25,0)&lt;&gt;"",X$1,"")</f>
        <v/>
      </c>
      <c r="Y63" t="str">
        <f>IF(VLOOKUP($A63,Tabelle1!$A$4:$BU$73,26,0)&lt;&gt;"",Y$1,"")</f>
        <v/>
      </c>
      <c r="Z63" t="str">
        <f>IF(VLOOKUP($A63,Tabelle1!$A$4:$BU$73,27,0)&lt;&gt;"",Z$1,"")</f>
        <v/>
      </c>
      <c r="AA63" t="str">
        <f>IF(VLOOKUP($A63,Tabelle1!$A$4:$BU$73,28,0)&lt;&gt;"",AA$1,"")</f>
        <v/>
      </c>
      <c r="AB63" t="str">
        <f>IF(VLOOKUP($A63,Tabelle1!$A$4:$BU$73,29,0)&lt;&gt;"",AB$1,"")</f>
        <v/>
      </c>
      <c r="AC63" t="str">
        <f>IF(VLOOKUP($A63,Tabelle1!$A$4:$BU$73,30,0)&lt;&gt;"",AC$1,"")</f>
        <v>Schwarzsamen/Ramtilkraut/Gingellikraut/Mungo</v>
      </c>
      <c r="AD63" t="str">
        <f>IF(VLOOKUP($A63,Tabelle1!$A$4:$BU$73,31,0)&lt;&gt;"",AD$1,"")</f>
        <v/>
      </c>
      <c r="AE63" t="str">
        <f>IF(VLOOKUP($A63,Tabelle1!$A$4:$BU$73,32,0)&lt;&gt;"",AE$1,"")</f>
        <v>Ölrettich</v>
      </c>
      <c r="AF63" t="str">
        <f>IF(VLOOKUP($A63,Tabelle1!$A$4:$BU$73,33,0)&lt;&gt;"",AF$1,"")</f>
        <v/>
      </c>
      <c r="AG63" t="str">
        <f>IF(VLOOKUP($A63,Tabelle1!$A$4:$BU$73,34,0)&lt;&gt;"",AG$1,"")</f>
        <v>Persischer Klee</v>
      </c>
      <c r="AH63" t="str">
        <f>IF(VLOOKUP($A63,Tabelle1!$A$4:$BU$73,35,0)&lt;&gt;"",AH$1,"")</f>
        <v/>
      </c>
      <c r="AI63" t="str">
        <f>IF(VLOOKUP($A63,Tabelle1!$A$4:$BU$73,36,0)&lt;&gt;"",AI$1,"")</f>
        <v/>
      </c>
      <c r="AJ63" t="str">
        <f>IF(VLOOKUP($A63,Tabelle1!$A$4:$BU$73,37,0)&lt;&gt;"",AJ$1,"")</f>
        <v/>
      </c>
      <c r="AK63" t="str">
        <f>IF(VLOOKUP($A63,Tabelle1!$A$4:$BU$73,38,0)&lt;&gt;"",AK$1,"")</f>
        <v/>
      </c>
      <c r="AL63" t="str">
        <f>IF(VLOOKUP($A63,Tabelle1!$A$4:$BU$73,39,0)&lt;&gt;"",AL$1,"")</f>
        <v/>
      </c>
      <c r="AM63" t="str">
        <f>IF(VLOOKUP($A63,Tabelle1!$A$4:$BU$73,40,0)&lt;&gt;"",AM$1,"")</f>
        <v>Saatwicke / Sommerwicke</v>
      </c>
      <c r="AN63" t="str">
        <f>IF(VLOOKUP($A63,Tabelle1!$A$4:$BU$73,41,0)&lt;&gt;"",AN$1,"")</f>
        <v/>
      </c>
      <c r="AO63" t="str">
        <f>IF(VLOOKUP($A63,Tabelle1!$A$4:$BU$73,42,0)&lt;&gt;"",AO$1,"")</f>
        <v/>
      </c>
      <c r="AP63" t="str">
        <f>IF(VLOOKUP($A63,Tabelle1!$A$4:$BU$73,43,0)&lt;&gt;"",AP$1,"")</f>
        <v/>
      </c>
      <c r="AQ63" t="str">
        <f>IF(VLOOKUP($A63,Tabelle1!$A$4:$BU$73,44,0)&lt;&gt;"",AQ$1,"")</f>
        <v/>
      </c>
      <c r="AR63" t="str">
        <f>IF(VLOOKUP($A63,Tabelle1!$A$4:$BU$73,45,0)&lt;&gt;"",AR$1,"")</f>
        <v/>
      </c>
      <c r="AS63" t="str">
        <f>IF(VLOOKUP($A63,Tabelle1!$A$4:$BU$73,46,0)&lt;&gt;"",AS$1,"")</f>
        <v/>
      </c>
      <c r="AT63" t="str">
        <f>IF(VLOOKUP($A63,Tabelle1!$A$4:$BU$73,47,0)&lt;&gt;"",AT$1,"")</f>
        <v/>
      </c>
      <c r="AU63" t="str">
        <f>IF(VLOOKUP($A63,Tabelle1!$A$4:$BU$73,48,0)&lt;&gt;"",AU$1,"")</f>
        <v/>
      </c>
      <c r="AV63" t="str">
        <f>IF(VLOOKUP($A63,Tabelle1!$A$4:$BU$73,49,0)&lt;&gt;"",AV$1,"")</f>
        <v/>
      </c>
      <c r="AW63" t="str">
        <f>IF(VLOOKUP($A63,Tabelle1!$A$4:$BU$73,50,0)&lt;&gt;"",AW$1,"")</f>
        <v/>
      </c>
      <c r="AX63" t="str">
        <f>IF(VLOOKUP($A63,Tabelle1!$A$4:$BU$73,51,0)&lt;&gt;"",AX$1,"")</f>
        <v/>
      </c>
      <c r="AY63" t="str">
        <f>IF(VLOOKUP($A63,Tabelle1!$A$4:$BU$73,52,0)&lt;&gt;"",AY$1,"")</f>
        <v/>
      </c>
      <c r="AZ63" t="str">
        <f>IF(VLOOKUP($A63,Tabelle1!$A$4:$BU$73,53,0)&lt;&gt;"",AZ$1,"")</f>
        <v/>
      </c>
      <c r="BA63" t="str">
        <f>IF(VLOOKUP($A63,Tabelle1!$A$4:$BU$73,54,0)&lt;&gt;"",BA$1,"")</f>
        <v/>
      </c>
      <c r="BB63" t="str">
        <f>IF(VLOOKUP($A63,Tabelle1!$A$4:$BU$73,55,0)&lt;&gt;"",BB$1,"")</f>
        <v/>
      </c>
      <c r="BC63" t="str">
        <f>IF(VLOOKUP($A63,Tabelle1!$A$4:$BU$73,56,0)&lt;&gt;"",BC$1,"")</f>
        <v/>
      </c>
      <c r="BD63" t="str">
        <f>IF(VLOOKUP($A63,Tabelle1!$A$4:$BU$73,57,0)&lt;&gt;"",BD$1,"")</f>
        <v/>
      </c>
      <c r="BE63" t="str">
        <f>IF(VLOOKUP($A63,Tabelle1!$A$4:$BU$73,58,0)&lt;&gt;"",BE$1,"")</f>
        <v/>
      </c>
      <c r="BF63" t="str">
        <f>IF(VLOOKUP($A63,Tabelle1!$A$4:$BU$73,59,0)&lt;&gt;"",BF$1,"")</f>
        <v/>
      </c>
      <c r="BG63" t="str">
        <f>IF(VLOOKUP($A63,Tabelle1!$A$4:$BU$73,60,0)&lt;&gt;"",BG$1,"")</f>
        <v/>
      </c>
      <c r="BH63" t="str">
        <f>IF(VLOOKUP($A63,Tabelle1!$A$4:$BU$73,61,0)&lt;&gt;"",BH$1,"")</f>
        <v/>
      </c>
      <c r="BI63" t="str">
        <f>IF(VLOOKUP($A63,Tabelle1!$A$4:$BU$73,62,0)&lt;&gt;"",BI$1,"")</f>
        <v/>
      </c>
      <c r="BJ63" t="str">
        <f>IF(VLOOKUP($A63,Tabelle1!$A$4:$BU$73,63,0)&lt;&gt;"",BJ$1,"")</f>
        <v/>
      </c>
      <c r="BK63" t="str">
        <f>IF(VLOOKUP($A63,Tabelle1!$A$4:$BU$73,64,0)&lt;&gt;"",BK$1,"")</f>
        <v/>
      </c>
      <c r="BL63" t="str">
        <f>IF(VLOOKUP($A63,Tabelle1!$A$4:$BU$73,65,0)&lt;&gt;"",BL$1,"")</f>
        <v/>
      </c>
      <c r="BM63" t="str">
        <f>IF(VLOOKUP($A63,Tabelle1!$A$4:$BU$73,66,0)&lt;&gt;"",BM$1,"")</f>
        <v/>
      </c>
      <c r="BN63" t="str">
        <f>IF(VLOOKUP($A63,Tabelle1!$A$4:$BU$73,67,0)&lt;&gt;"",BN$1,"")</f>
        <v/>
      </c>
      <c r="BO63" t="str">
        <f>IF(VLOOKUP($A63,Tabelle1!$A$4:$BU$73,68,0)&lt;&gt;"",BO$1,"")</f>
        <v/>
      </c>
      <c r="BP63" t="str">
        <f>IF(VLOOKUP($A63,Tabelle1!$A$4:$BU$73,69,0)&lt;&gt;"",BP$1,"")</f>
        <v/>
      </c>
      <c r="BQ63" t="str">
        <f>IF(VLOOKUP($A63,Tabelle1!$A$4:$BU$73,70,0)&lt;&gt;"",BQ$1,"")</f>
        <v/>
      </c>
      <c r="BR63" t="str">
        <f>IF(VLOOKUP($A63,Tabelle1!$A$4:$BU$73,71,0)&lt;&gt;"",BR$1,"")</f>
        <v/>
      </c>
      <c r="BS63" t="str">
        <f>IF(VLOOKUP($A63,Tabelle1!$A$4:$BU$73,72,0)&lt;&gt;"",BS$1,"")</f>
        <v/>
      </c>
      <c r="BT63" t="str">
        <f>IF(VLOOKUP($A63,Tabelle1!$A$4:$BU$73,73,0)&lt;&gt;"",BT$1,"")</f>
        <v/>
      </c>
    </row>
    <row r="64" spans="1:72" x14ac:dyDescent="0.2">
      <c r="A64" t="s">
        <v>716</v>
      </c>
      <c r="B64">
        <v>40</v>
      </c>
      <c r="C64">
        <v>4.0999999999999996</v>
      </c>
      <c r="D64" t="str">
        <f>IF(VLOOKUP($A64,Tabelle1!$A$4:$BU$73,5,0)&lt;&gt;"",D$1,"")</f>
        <v/>
      </c>
      <c r="E64" t="str">
        <f>IF(VLOOKUP($A64,Tabelle1!$A$4:$BU$73,6,0)&lt;&gt;"",E$1,"")</f>
        <v/>
      </c>
      <c r="F64" t="str">
        <f>IF(VLOOKUP($A64,Tabelle1!$A$4:$BU$73,7,0)&lt;&gt;"",F$1,"")</f>
        <v/>
      </c>
      <c r="G64" t="str">
        <f>IF(VLOOKUP($A64,Tabelle1!$A$4:$BU$73,8,0)&lt;&gt;"",G$1,"")</f>
        <v>Bastardraygras</v>
      </c>
      <c r="H64" t="str">
        <f>IF(VLOOKUP($A64,Tabelle1!$A$4:$BU$73,9,0)&lt;&gt;"",H$1,"")</f>
        <v/>
      </c>
      <c r="I64" t="str">
        <f>IF(VLOOKUP($A64,Tabelle1!$A$4:$BU$73,10,0)&lt;&gt;"",I$1,"")</f>
        <v/>
      </c>
      <c r="J64" t="str">
        <f>IF(VLOOKUP($A64,Tabelle1!$A$4:$BU$73,11,0)&lt;&gt;"",J$1,"")</f>
        <v/>
      </c>
      <c r="K64" t="str">
        <f>IF(VLOOKUP($A64,Tabelle1!$A$4:$BU$73,12,0)&lt;&gt;"",K$1,"")</f>
        <v/>
      </c>
      <c r="L64" t="str">
        <f>IF(VLOOKUP($A64,Tabelle1!$A$4:$BU$73,13,0)&lt;&gt;"",L$1,"")</f>
        <v/>
      </c>
      <c r="M64" t="str">
        <f>IF(VLOOKUP($A64,Tabelle1!$A$4:$BU$73,14,0)&lt;&gt;"",M$1,"")</f>
        <v/>
      </c>
      <c r="N64" t="str">
        <f>IF(VLOOKUP($A64,Tabelle1!$A$4:$BU$73,15,0)&lt;&gt;"",N$1,"")</f>
        <v/>
      </c>
      <c r="O64" t="str">
        <f>IF(VLOOKUP($A64,Tabelle1!$A$4:$BU$73,16,0)&lt;&gt;"",O$1,"")</f>
        <v/>
      </c>
      <c r="P64" t="str">
        <f>IF(VLOOKUP($A64,Tabelle1!$A$4:$BU$73,17,0)&lt;&gt;"",P$1,"")</f>
        <v/>
      </c>
      <c r="Q64" t="str">
        <f>IF(VLOOKUP($A64,Tabelle1!$A$4:$BU$73,18,0)&lt;&gt;"",Q$1,"")</f>
        <v/>
      </c>
      <c r="R64" t="str">
        <f>IF(VLOOKUP($A64,Tabelle1!$A$4:$BU$73,19,0)&lt;&gt;"",R$1,"")</f>
        <v/>
      </c>
      <c r="S64" t="str">
        <f>IF(VLOOKUP($A64,Tabelle1!$A$4:$BU$73,20,0)&lt;&gt;"",S$1,"")</f>
        <v/>
      </c>
      <c r="T64" t="str">
        <f>IF(VLOOKUP($A64,Tabelle1!$A$4:$BU$73,21,0)&lt;&gt;"",T$1,"")</f>
        <v>Inkarnatklee</v>
      </c>
      <c r="U64" t="str">
        <f>IF(VLOOKUP($A64,Tabelle1!$A$4:$BU$73,22,0)&lt;&gt;"",U$1,"")</f>
        <v>Italienisches Raygras (Welsches Weidelgras)</v>
      </c>
      <c r="V64" t="str">
        <f>IF(VLOOKUP($A64,Tabelle1!$A$4:$BU$73,23,0)&lt;&gt;"",V$1,"")</f>
        <v/>
      </c>
      <c r="W64" t="str">
        <f>IF(VLOOKUP($A64,Tabelle1!$A$4:$BU$73,24,0)&lt;&gt;"",W$1,"")</f>
        <v/>
      </c>
      <c r="X64" t="str">
        <f>IF(VLOOKUP($A64,Tabelle1!$A$4:$BU$73,25,0)&lt;&gt;"",X$1,"")</f>
        <v/>
      </c>
      <c r="Y64" t="str">
        <f>IF(VLOOKUP($A64,Tabelle1!$A$4:$BU$73,26,0)&lt;&gt;"",Y$1,"")</f>
        <v/>
      </c>
      <c r="Z64" t="str">
        <f>IF(VLOOKUP($A64,Tabelle1!$A$4:$BU$73,27,0)&lt;&gt;"",Z$1,"")</f>
        <v/>
      </c>
      <c r="AA64" t="str">
        <f>IF(VLOOKUP($A64,Tabelle1!$A$4:$BU$73,28,0)&lt;&gt;"",AA$1,"")</f>
        <v/>
      </c>
      <c r="AB64" t="str">
        <f>IF(VLOOKUP($A64,Tabelle1!$A$4:$BU$73,29,0)&lt;&gt;"",AB$1,"")</f>
        <v/>
      </c>
      <c r="AC64" t="str">
        <f>IF(VLOOKUP($A64,Tabelle1!$A$4:$BU$73,30,0)&lt;&gt;"",AC$1,"")</f>
        <v/>
      </c>
      <c r="AD64" t="str">
        <f>IF(VLOOKUP($A64,Tabelle1!$A$4:$BU$73,31,0)&lt;&gt;"",AD$1,"")</f>
        <v/>
      </c>
      <c r="AE64" t="str">
        <f>IF(VLOOKUP($A64,Tabelle1!$A$4:$BU$73,32,0)&lt;&gt;"",AE$1,"")</f>
        <v/>
      </c>
      <c r="AF64" t="str">
        <f>IF(VLOOKUP($A64,Tabelle1!$A$4:$BU$73,33,0)&lt;&gt;"",AF$1,"")</f>
        <v/>
      </c>
      <c r="AG64" t="str">
        <f>IF(VLOOKUP($A64,Tabelle1!$A$4:$BU$73,34,0)&lt;&gt;"",AG$1,"")</f>
        <v/>
      </c>
      <c r="AH64" t="str">
        <f>IF(VLOOKUP($A64,Tabelle1!$A$4:$BU$73,35,0)&lt;&gt;"",AH$1,"")</f>
        <v/>
      </c>
      <c r="AI64" t="str">
        <f>IF(VLOOKUP($A64,Tabelle1!$A$4:$BU$73,36,0)&lt;&gt;"",AI$1,"")</f>
        <v/>
      </c>
      <c r="AJ64" t="str">
        <f>IF(VLOOKUP($A64,Tabelle1!$A$4:$BU$73,37,0)&lt;&gt;"",AJ$1,"")</f>
        <v/>
      </c>
      <c r="AK64" t="str">
        <f>IF(VLOOKUP($A64,Tabelle1!$A$4:$BU$73,38,0)&lt;&gt;"",AK$1,"")</f>
        <v>Rotklee</v>
      </c>
      <c r="AL64" t="str">
        <f>IF(VLOOKUP($A64,Tabelle1!$A$4:$BU$73,39,0)&lt;&gt;"",AL$1,"")</f>
        <v/>
      </c>
      <c r="AM64" t="str">
        <f>IF(VLOOKUP($A64,Tabelle1!$A$4:$BU$73,40,0)&lt;&gt;"",AM$1,"")</f>
        <v/>
      </c>
      <c r="AN64" t="str">
        <f>IF(VLOOKUP($A64,Tabelle1!$A$4:$BU$73,41,0)&lt;&gt;"",AN$1,"")</f>
        <v/>
      </c>
      <c r="AO64" t="str">
        <f>IF(VLOOKUP($A64,Tabelle1!$A$4:$BU$73,42,0)&lt;&gt;"",AO$1,"")</f>
        <v/>
      </c>
      <c r="AP64" t="str">
        <f>IF(VLOOKUP($A64,Tabelle1!$A$4:$BU$73,43,0)&lt;&gt;"",AP$1,"")</f>
        <v/>
      </c>
      <c r="AQ64" t="str">
        <f>IF(VLOOKUP($A64,Tabelle1!$A$4:$BU$73,44,0)&lt;&gt;"",AQ$1,"")</f>
        <v>Schwedenklee</v>
      </c>
      <c r="AR64" t="str">
        <f>IF(VLOOKUP($A64,Tabelle1!$A$4:$BU$73,45,0)&lt;&gt;"",AR$1,"")</f>
        <v/>
      </c>
      <c r="AS64" t="str">
        <f>IF(VLOOKUP($A64,Tabelle1!$A$4:$BU$73,46,0)&lt;&gt;"",AS$1,"")</f>
        <v/>
      </c>
      <c r="AT64" t="str">
        <f>IF(VLOOKUP($A64,Tabelle1!$A$4:$BU$73,47,0)&lt;&gt;"",AT$1,"")</f>
        <v/>
      </c>
      <c r="AU64" t="str">
        <f>IF(VLOOKUP($A64,Tabelle1!$A$4:$BU$73,48,0)&lt;&gt;"",AU$1,"")</f>
        <v/>
      </c>
      <c r="AV64" t="str">
        <f>IF(VLOOKUP($A64,Tabelle1!$A$4:$BU$73,49,0)&lt;&gt;"",AV$1,"")</f>
        <v/>
      </c>
      <c r="AW64" t="str">
        <f>IF(VLOOKUP($A64,Tabelle1!$A$4:$BU$73,50,0)&lt;&gt;"",AW$1,"")</f>
        <v/>
      </c>
      <c r="AX64" t="str">
        <f>IF(VLOOKUP($A64,Tabelle1!$A$4:$BU$73,51,0)&lt;&gt;"",AX$1,"")</f>
        <v/>
      </c>
      <c r="AY64" t="str">
        <f>IF(VLOOKUP($A64,Tabelle1!$A$4:$BU$73,52,0)&lt;&gt;"",AY$1,"")</f>
        <v/>
      </c>
      <c r="AZ64" t="str">
        <f>IF(VLOOKUP($A64,Tabelle1!$A$4:$BU$73,53,0)&lt;&gt;"",AZ$1,"")</f>
        <v/>
      </c>
      <c r="BA64" t="str">
        <f>IF(VLOOKUP($A64,Tabelle1!$A$4:$BU$73,54,0)&lt;&gt;"",BA$1,"")</f>
        <v/>
      </c>
      <c r="BB64" t="str">
        <f>IF(VLOOKUP($A64,Tabelle1!$A$4:$BU$73,55,0)&lt;&gt;"",BB$1,"")</f>
        <v/>
      </c>
      <c r="BC64" t="str">
        <f>IF(VLOOKUP($A64,Tabelle1!$A$4:$BU$73,56,0)&lt;&gt;"",BC$1,"")</f>
        <v/>
      </c>
      <c r="BD64" t="str">
        <f>IF(VLOOKUP($A64,Tabelle1!$A$4:$BU$73,57,0)&lt;&gt;"",BD$1,"")</f>
        <v>Winterwicke Pannonisch</v>
      </c>
      <c r="BE64" t="str">
        <f>IF(VLOOKUP($A64,Tabelle1!$A$4:$BU$73,58,0)&lt;&gt;"",BE$1,"")</f>
        <v/>
      </c>
      <c r="BF64" t="str">
        <f>IF(VLOOKUP($A64,Tabelle1!$A$4:$BU$73,59,0)&lt;&gt;"",BF$1,"")</f>
        <v/>
      </c>
      <c r="BG64" t="str">
        <f>IF(VLOOKUP($A64,Tabelle1!$A$4:$BU$73,60,0)&lt;&gt;"",BG$1,"")</f>
        <v/>
      </c>
      <c r="BH64" t="str">
        <f>IF(VLOOKUP($A64,Tabelle1!$A$4:$BU$73,61,0)&lt;&gt;"",BH$1,"")</f>
        <v/>
      </c>
      <c r="BI64" t="str">
        <f>IF(VLOOKUP($A64,Tabelle1!$A$4:$BU$73,62,0)&lt;&gt;"",BI$1,"")</f>
        <v/>
      </c>
      <c r="BJ64" t="str">
        <f>IF(VLOOKUP($A64,Tabelle1!$A$4:$BU$73,63,0)&lt;&gt;"",BJ$1,"")</f>
        <v/>
      </c>
      <c r="BK64" t="str">
        <f>IF(VLOOKUP($A64,Tabelle1!$A$4:$BU$73,64,0)&lt;&gt;"",BK$1,"")</f>
        <v/>
      </c>
      <c r="BL64" t="str">
        <f>IF(VLOOKUP($A64,Tabelle1!$A$4:$BU$73,65,0)&lt;&gt;"",BL$1,"")</f>
        <v/>
      </c>
      <c r="BM64" t="str">
        <f>IF(VLOOKUP($A64,Tabelle1!$A$4:$BU$73,66,0)&lt;&gt;"",BM$1,"")</f>
        <v/>
      </c>
      <c r="BN64" t="str">
        <f>IF(VLOOKUP($A64,Tabelle1!$A$4:$BU$73,67,0)&lt;&gt;"",BN$1,"")</f>
        <v/>
      </c>
      <c r="BO64" t="str">
        <f>IF(VLOOKUP($A64,Tabelle1!$A$4:$BU$73,68,0)&lt;&gt;"",BO$1,"")</f>
        <v/>
      </c>
      <c r="BP64" t="str">
        <f>IF(VLOOKUP($A64,Tabelle1!$A$4:$BU$73,69,0)&lt;&gt;"",BP$1,"")</f>
        <v/>
      </c>
      <c r="BQ64" t="str">
        <f>IF(VLOOKUP($A64,Tabelle1!$A$4:$BU$73,70,0)&lt;&gt;"",BQ$1,"")</f>
        <v/>
      </c>
      <c r="BR64" t="str">
        <f>IF(VLOOKUP($A64,Tabelle1!$A$4:$BU$73,71,0)&lt;&gt;"",BR$1,"")</f>
        <v/>
      </c>
      <c r="BS64" t="str">
        <f>IF(VLOOKUP($A64,Tabelle1!$A$4:$BU$73,72,0)&lt;&gt;"",BS$1,"")</f>
        <v/>
      </c>
      <c r="BT64" t="str">
        <f>IF(VLOOKUP($A64,Tabelle1!$A$4:$BU$73,73,0)&lt;&gt;"",BT$1,"")</f>
        <v/>
      </c>
    </row>
    <row r="65" spans="1:73" x14ac:dyDescent="0.2">
      <c r="A65" t="s">
        <v>929</v>
      </c>
      <c r="B65">
        <v>25</v>
      </c>
      <c r="C65">
        <v>3.85</v>
      </c>
      <c r="D65" t="str">
        <f>IF(VLOOKUP($A65,Tabelle1!$A$4:$BU$73,5,0)&lt;&gt;"",D$1,"")</f>
        <v/>
      </c>
      <c r="E65" t="str">
        <f>IF(VLOOKUP($A65,Tabelle1!$A$4:$BU$73,6,0)&lt;&gt;"",E$1,"")</f>
        <v/>
      </c>
      <c r="F65" t="str">
        <f>IF(VLOOKUP($A65,Tabelle1!$A$4:$BU$73,7,0)&lt;&gt;"",F$1,"")</f>
        <v/>
      </c>
      <c r="G65" t="str">
        <f>IF(VLOOKUP($A65,Tabelle1!$A$4:$BU$73,8,0)&lt;&gt;"",G$1,"")</f>
        <v/>
      </c>
      <c r="H65" t="str">
        <f>IF(VLOOKUP($A65,Tabelle1!$A$4:$BU$73,9,0)&lt;&gt;"",H$1,"")</f>
        <v/>
      </c>
      <c r="I65" t="str">
        <f>IF(VLOOKUP($A65,Tabelle1!$A$4:$BU$73,10,0)&lt;&gt;"",I$1,"")</f>
        <v xml:space="preserve">Buchweizen </v>
      </c>
      <c r="J65" t="str">
        <f>IF(VLOOKUP($A65,Tabelle1!$A$4:$BU$73,11,0)&lt;&gt;"",J$1,"")</f>
        <v/>
      </c>
      <c r="K65" t="str">
        <f>IF(VLOOKUP($A65,Tabelle1!$A$4:$BU$73,12,0)&lt;&gt;"",K$1,"")</f>
        <v/>
      </c>
      <c r="L65" t="str">
        <f>IF(VLOOKUP($A65,Tabelle1!$A$4:$BU$73,13,0)&lt;&gt;"",L$1,"")</f>
        <v/>
      </c>
      <c r="M65" t="str">
        <f>IF(VLOOKUP($A65,Tabelle1!$A$4:$BU$73,14,0)&lt;&gt;"",M$1,"")</f>
        <v/>
      </c>
      <c r="N65" t="str">
        <f>IF(VLOOKUP($A65,Tabelle1!$A$4:$BU$73,15,0)&lt;&gt;"",N$1,"")</f>
        <v/>
      </c>
      <c r="O65" t="str">
        <f>IF(VLOOKUP($A65,Tabelle1!$A$4:$BU$73,16,0)&lt;&gt;"",O$1,"")</f>
        <v/>
      </c>
      <c r="P65" t="str">
        <f>IF(VLOOKUP($A65,Tabelle1!$A$4:$BU$73,17,0)&lt;&gt;"",P$1,"")</f>
        <v/>
      </c>
      <c r="Q65" t="str">
        <f>IF(VLOOKUP($A65,Tabelle1!$A$4:$BU$73,18,0)&lt;&gt;"",Q$1,"")</f>
        <v/>
      </c>
      <c r="R65" t="str">
        <f>IF(VLOOKUP($A65,Tabelle1!$A$4:$BU$73,19,0)&lt;&gt;"",R$1,"")</f>
        <v/>
      </c>
      <c r="S65" t="str">
        <f>IF(VLOOKUP($A65,Tabelle1!$A$4:$BU$73,20,0)&lt;&gt;"",S$1,"")</f>
        <v/>
      </c>
      <c r="T65" t="str">
        <f>IF(VLOOKUP($A65,Tabelle1!$A$4:$BU$73,21,0)&lt;&gt;"",T$1,"")</f>
        <v/>
      </c>
      <c r="U65" t="str">
        <f>IF(VLOOKUP($A65,Tabelle1!$A$4:$BU$73,22,0)&lt;&gt;"",U$1,"")</f>
        <v/>
      </c>
      <c r="V65" t="str">
        <f>IF(VLOOKUP($A65,Tabelle1!$A$4:$BU$73,23,0)&lt;&gt;"",V$1,"")</f>
        <v/>
      </c>
      <c r="W65" t="str">
        <f>IF(VLOOKUP($A65,Tabelle1!$A$4:$BU$73,24,0)&lt;&gt;"",W$1,"")</f>
        <v/>
      </c>
      <c r="X65" t="str">
        <f>IF(VLOOKUP($A65,Tabelle1!$A$4:$BU$73,25,0)&lt;&gt;"",X$1,"")</f>
        <v/>
      </c>
      <c r="Y65" t="str">
        <f>IF(VLOOKUP($A65,Tabelle1!$A$4:$BU$73,26,0)&lt;&gt;"",Y$1,"")</f>
        <v>Leindotter</v>
      </c>
      <c r="Z65" t="str">
        <f>IF(VLOOKUP($A65,Tabelle1!$A$4:$BU$73,27,0)&lt;&gt;"",Z$1,"")</f>
        <v/>
      </c>
      <c r="AA65" t="str">
        <f>IF(VLOOKUP($A65,Tabelle1!$A$4:$BU$73,28,0)&lt;&gt;"",AA$1,"")</f>
        <v/>
      </c>
      <c r="AB65" t="str">
        <f>IF(VLOOKUP($A65,Tabelle1!$A$4:$BU$73,29,0)&lt;&gt;"",AB$1,"")</f>
        <v/>
      </c>
      <c r="AC65" t="str">
        <f>IF(VLOOKUP($A65,Tabelle1!$A$4:$BU$73,30,0)&lt;&gt;"",AC$1,"")</f>
        <v/>
      </c>
      <c r="AD65" t="str">
        <f>IF(VLOOKUP($A65,Tabelle1!$A$4:$BU$73,31,0)&lt;&gt;"",AD$1,"")</f>
        <v>Öllein</v>
      </c>
      <c r="AE65" t="str">
        <f>IF(VLOOKUP($A65,Tabelle1!$A$4:$BU$73,32,0)&lt;&gt;"",AE$1,"")</f>
        <v>Ölrettich</v>
      </c>
      <c r="AF65" t="str">
        <f>IF(VLOOKUP($A65,Tabelle1!$A$4:$BU$73,33,0)&lt;&gt;"",AF$1,"")</f>
        <v/>
      </c>
      <c r="AG65" t="str">
        <f>IF(VLOOKUP($A65,Tabelle1!$A$4:$BU$73,34,0)&lt;&gt;"",AG$1,"")</f>
        <v/>
      </c>
      <c r="AH65" t="str">
        <f>IF(VLOOKUP($A65,Tabelle1!$A$4:$BU$73,35,0)&lt;&gt;"",AH$1,"")</f>
        <v>Phazelie</v>
      </c>
      <c r="AI65" t="str">
        <f>IF(VLOOKUP($A65,Tabelle1!$A$4:$BU$73,36,0)&lt;&gt;"",AI$1,"")</f>
        <v/>
      </c>
      <c r="AJ65" t="str">
        <f>IF(VLOOKUP($A65,Tabelle1!$A$4:$BU$73,37,0)&lt;&gt;"",AJ$1,"")</f>
        <v/>
      </c>
      <c r="AK65" t="str">
        <f>IF(VLOOKUP($A65,Tabelle1!$A$4:$BU$73,38,0)&lt;&gt;"",AK$1,"")</f>
        <v/>
      </c>
      <c r="AL65" t="str">
        <f>IF(VLOOKUP($A65,Tabelle1!$A$4:$BU$73,39,0)&lt;&gt;"",AL$1,"")</f>
        <v/>
      </c>
      <c r="AM65" t="str">
        <f>IF(VLOOKUP($A65,Tabelle1!$A$4:$BU$73,40,0)&lt;&gt;"",AM$1,"")</f>
        <v/>
      </c>
      <c r="AN65" t="str">
        <f>IF(VLOOKUP($A65,Tabelle1!$A$4:$BU$73,41,0)&lt;&gt;"",AN$1,"")</f>
        <v/>
      </c>
      <c r="AO65" t="str">
        <f>IF(VLOOKUP($A65,Tabelle1!$A$4:$BU$73,42,0)&lt;&gt;"",AO$1,"")</f>
        <v>Sandhafer / Rauhafer</v>
      </c>
      <c r="AP65" t="str">
        <f>IF(VLOOKUP($A65,Tabelle1!$A$4:$BU$73,43,0)&lt;&gt;"",AP$1,"")</f>
        <v/>
      </c>
      <c r="AQ65" t="str">
        <f>IF(VLOOKUP($A65,Tabelle1!$A$4:$BU$73,44,0)&lt;&gt;"",AQ$1,"")</f>
        <v/>
      </c>
      <c r="AR65" t="str">
        <f>IF(VLOOKUP($A65,Tabelle1!$A$4:$BU$73,45,0)&lt;&gt;"",AR$1,"")</f>
        <v>Senf</v>
      </c>
      <c r="AS65" t="str">
        <f>IF(VLOOKUP($A65,Tabelle1!$A$4:$BU$73,46,0)&lt;&gt;"",AS$1,"")</f>
        <v/>
      </c>
      <c r="AT65" t="str">
        <f>IF(VLOOKUP($A65,Tabelle1!$A$4:$BU$73,47,0)&lt;&gt;"",AT$1,"")</f>
        <v/>
      </c>
      <c r="AU65" t="str">
        <f>IF(VLOOKUP($A65,Tabelle1!$A$4:$BU$73,48,0)&lt;&gt;"",AU$1,"")</f>
        <v>Sonnenblume</v>
      </c>
      <c r="AV65" t="str">
        <f>IF(VLOOKUP($A65,Tabelle1!$A$4:$BU$73,49,0)&lt;&gt;"",AV$1,"")</f>
        <v/>
      </c>
      <c r="AW65" t="str">
        <f>IF(VLOOKUP($A65,Tabelle1!$A$4:$BU$73,50,0)&lt;&gt;"",AW$1,"")</f>
        <v/>
      </c>
      <c r="AX65" t="str">
        <f>IF(VLOOKUP($A65,Tabelle1!$A$4:$BU$73,51,0)&lt;&gt;"",AX$1,"")</f>
        <v>Sudangras</v>
      </c>
      <c r="AY65" t="str">
        <f>IF(VLOOKUP($A65,Tabelle1!$A$4:$BU$73,52,0)&lt;&gt;"",AY$1,"")</f>
        <v/>
      </c>
      <c r="AZ65" t="str">
        <f>IF(VLOOKUP($A65,Tabelle1!$A$4:$BU$73,53,0)&lt;&gt;"",AZ$1,"")</f>
        <v/>
      </c>
      <c r="BA65" t="str">
        <f>IF(VLOOKUP($A65,Tabelle1!$A$4:$BU$73,54,0)&lt;&gt;"",BA$1,"")</f>
        <v/>
      </c>
      <c r="BB65" t="str">
        <f>IF(VLOOKUP($A65,Tabelle1!$A$4:$BU$73,55,0)&lt;&gt;"",BB$1,"")</f>
        <v/>
      </c>
      <c r="BC65" t="str">
        <f>IF(VLOOKUP($A65,Tabelle1!$A$4:$BU$73,56,0)&lt;&gt;"",BC$1,"")</f>
        <v/>
      </c>
      <c r="BD65" t="str">
        <f>IF(VLOOKUP($A65,Tabelle1!$A$4:$BU$73,57,0)&lt;&gt;"",BD$1,"")</f>
        <v/>
      </c>
      <c r="BE65" t="str">
        <f>IF(VLOOKUP($A65,Tabelle1!$A$4:$BU$73,58,0)&lt;&gt;"",BE$1,"")</f>
        <v/>
      </c>
      <c r="BF65" t="str">
        <f>IF(VLOOKUP($A65,Tabelle1!$A$4:$BU$73,59,0)&lt;&gt;"",BF$1,"")</f>
        <v/>
      </c>
      <c r="BG65" t="str">
        <f>IF(VLOOKUP($A65,Tabelle1!$A$4:$BU$73,60,0)&lt;&gt;"",BG$1,"")</f>
        <v/>
      </c>
      <c r="BH65" t="str">
        <f>IF(VLOOKUP($A65,Tabelle1!$A$4:$BU$73,61,0)&lt;&gt;"",BH$1,"")</f>
        <v/>
      </c>
      <c r="BI65" t="str">
        <f>IF(VLOOKUP($A65,Tabelle1!$A$4:$BU$73,62,0)&lt;&gt;"",BI$1,"")</f>
        <v/>
      </c>
      <c r="BJ65" t="str">
        <f>IF(VLOOKUP($A65,Tabelle1!$A$4:$BU$73,63,0)&lt;&gt;"",BJ$1,"")</f>
        <v/>
      </c>
      <c r="BK65" t="str">
        <f>IF(VLOOKUP($A65,Tabelle1!$A$4:$BU$73,64,0)&lt;&gt;"",BK$1,"")</f>
        <v/>
      </c>
      <c r="BL65" t="str">
        <f>IF(VLOOKUP($A65,Tabelle1!$A$4:$BU$73,65,0)&lt;&gt;"",BL$1,"")</f>
        <v/>
      </c>
      <c r="BM65" t="str">
        <f>IF(VLOOKUP($A65,Tabelle1!$A$4:$BU$73,66,0)&lt;&gt;"",BM$1,"")</f>
        <v/>
      </c>
      <c r="BN65" t="str">
        <f>IF(VLOOKUP($A65,Tabelle1!$A$4:$BU$73,67,0)&lt;&gt;"",BN$1,"")</f>
        <v/>
      </c>
      <c r="BO65" t="str">
        <f>IF(VLOOKUP($A65,Tabelle1!$A$4:$BU$73,68,0)&lt;&gt;"",BO$1,"")</f>
        <v/>
      </c>
      <c r="BP65" t="str">
        <f>IF(VLOOKUP($A65,Tabelle1!$A$4:$BU$73,69,0)&lt;&gt;"",BP$1,"")</f>
        <v/>
      </c>
      <c r="BQ65" t="str">
        <f>IF(VLOOKUP($A65,Tabelle1!$A$4:$BU$73,70,0)&lt;&gt;"",BQ$1,"")</f>
        <v/>
      </c>
      <c r="BR65" t="str">
        <f>IF(VLOOKUP($A65,Tabelle1!$A$4:$BU$73,71,0)&lt;&gt;"",BR$1,"")</f>
        <v/>
      </c>
      <c r="BS65" t="str">
        <f>IF(VLOOKUP($A65,Tabelle1!$A$4:$BU$73,72,0)&lt;&gt;"",BS$1,"")</f>
        <v/>
      </c>
      <c r="BT65" t="str">
        <f>IF(VLOOKUP($A65,Tabelle1!$A$4:$BU$73,73,0)&lt;&gt;"",BT$1,"")</f>
        <v/>
      </c>
    </row>
    <row r="66" spans="1:73" x14ac:dyDescent="0.2">
      <c r="A66" t="s">
        <v>930</v>
      </c>
      <c r="B66">
        <v>35</v>
      </c>
      <c r="C66">
        <v>4.16</v>
      </c>
      <c r="D66" t="str">
        <f>IF(VLOOKUP($A66,Tabelle1!$A$4:$BU$73,5,0)&lt;&gt;"",D$1,"")</f>
        <v/>
      </c>
      <c r="E66" t="str">
        <f>IF(VLOOKUP($A66,Tabelle1!$A$4:$BU$73,6,0)&lt;&gt;"",E$1,"")</f>
        <v/>
      </c>
      <c r="F66" t="str">
        <f>IF(VLOOKUP($A66,Tabelle1!$A$4:$BU$73,7,0)&lt;&gt;"",F$1,"")</f>
        <v/>
      </c>
      <c r="G66" t="str">
        <f>IF(VLOOKUP($A66,Tabelle1!$A$4:$BU$73,8,0)&lt;&gt;"",G$1,"")</f>
        <v/>
      </c>
      <c r="H66" t="str">
        <f>IF(VLOOKUP($A66,Tabelle1!$A$4:$BU$73,9,0)&lt;&gt;"",H$1,"")</f>
        <v/>
      </c>
      <c r="I66" t="str">
        <f>IF(VLOOKUP($A66,Tabelle1!$A$4:$BU$73,10,0)&lt;&gt;"",I$1,"")</f>
        <v/>
      </c>
      <c r="J66" t="str">
        <f>IF(VLOOKUP($A66,Tabelle1!$A$4:$BU$73,11,0)&lt;&gt;"",J$1,"")</f>
        <v/>
      </c>
      <c r="K66" t="str">
        <f>IF(VLOOKUP($A66,Tabelle1!$A$4:$BU$73,12,0)&lt;&gt;"",K$1,"")</f>
        <v/>
      </c>
      <c r="L66" t="str">
        <f>IF(VLOOKUP($A66,Tabelle1!$A$4:$BU$73,13,0)&lt;&gt;"",L$1,"")</f>
        <v/>
      </c>
      <c r="M66" t="str">
        <f>IF(VLOOKUP($A66,Tabelle1!$A$4:$BU$73,14,0)&lt;&gt;"",M$1,"")</f>
        <v/>
      </c>
      <c r="N66" t="str">
        <f>IF(VLOOKUP($A66,Tabelle1!$A$4:$BU$73,15,0)&lt;&gt;"",N$1,"")</f>
        <v/>
      </c>
      <c r="O66" t="str">
        <f>IF(VLOOKUP($A66,Tabelle1!$A$4:$BU$73,16,0)&lt;&gt;"",O$1,"")</f>
        <v/>
      </c>
      <c r="P66" t="str">
        <f>IF(VLOOKUP($A66,Tabelle1!$A$4:$BU$73,17,0)&lt;&gt;"",P$1,"")</f>
        <v/>
      </c>
      <c r="Q66" t="str">
        <f>IF(VLOOKUP($A66,Tabelle1!$A$4:$BU$73,18,0)&lt;&gt;"",Q$1,"")</f>
        <v/>
      </c>
      <c r="R66" t="str">
        <f>IF(VLOOKUP($A66,Tabelle1!$A$4:$BU$73,19,0)&lt;&gt;"",R$1,"")</f>
        <v/>
      </c>
      <c r="S66" t="str">
        <f>IF(VLOOKUP($A66,Tabelle1!$A$4:$BU$73,20,0)&lt;&gt;"",S$1,"")</f>
        <v/>
      </c>
      <c r="T66" t="str">
        <f>IF(VLOOKUP($A66,Tabelle1!$A$4:$BU$73,21,0)&lt;&gt;"",T$1,"")</f>
        <v/>
      </c>
      <c r="U66" t="str">
        <f>IF(VLOOKUP($A66,Tabelle1!$A$4:$BU$73,22,0)&lt;&gt;"",U$1,"")</f>
        <v/>
      </c>
      <c r="V66" t="str">
        <f>IF(VLOOKUP($A66,Tabelle1!$A$4:$BU$73,23,0)&lt;&gt;"",V$1,"")</f>
        <v/>
      </c>
      <c r="W66" t="str">
        <f>IF(VLOOKUP($A66,Tabelle1!$A$4:$BU$73,24,0)&lt;&gt;"",W$1,"")</f>
        <v/>
      </c>
      <c r="X66" t="str">
        <f>IF(VLOOKUP($A66,Tabelle1!$A$4:$BU$73,25,0)&lt;&gt;"",X$1,"")</f>
        <v/>
      </c>
      <c r="Y66" t="str">
        <f>IF(VLOOKUP($A66,Tabelle1!$A$4:$BU$73,26,0)&lt;&gt;"",Y$1,"")</f>
        <v/>
      </c>
      <c r="Z66" t="str">
        <f>IF(VLOOKUP($A66,Tabelle1!$A$4:$BU$73,27,0)&lt;&gt;"",Z$1,"")</f>
        <v/>
      </c>
      <c r="AA66" t="str">
        <f>IF(VLOOKUP($A66,Tabelle1!$A$4:$BU$73,28,0)&lt;&gt;"",AA$1,"")</f>
        <v/>
      </c>
      <c r="AB66" t="str">
        <f>IF(VLOOKUP($A66,Tabelle1!$A$4:$BU$73,29,0)&lt;&gt;"",AB$1,"")</f>
        <v/>
      </c>
      <c r="AC66" t="str">
        <f>IF(VLOOKUP($A66,Tabelle1!$A$4:$BU$73,30,0)&lt;&gt;"",AC$1,"")</f>
        <v/>
      </c>
      <c r="AD66" t="str">
        <f>IF(VLOOKUP($A66,Tabelle1!$A$4:$BU$73,31,0)&lt;&gt;"",AD$1,"")</f>
        <v>Öllein</v>
      </c>
      <c r="AE66" t="str">
        <f>IF(VLOOKUP($A66,Tabelle1!$A$4:$BU$73,32,0)&lt;&gt;"",AE$1,"")</f>
        <v/>
      </c>
      <c r="AF66" t="str">
        <f>IF(VLOOKUP($A66,Tabelle1!$A$4:$BU$73,33,0)&lt;&gt;"",AF$1,"")</f>
        <v/>
      </c>
      <c r="AG66" t="str">
        <f>IF(VLOOKUP($A66,Tabelle1!$A$4:$BU$73,34,0)&lt;&gt;"",AG$1,"")</f>
        <v/>
      </c>
      <c r="AH66" t="str">
        <f>IF(VLOOKUP($A66,Tabelle1!$A$4:$BU$73,35,0)&lt;&gt;"",AH$1,"")</f>
        <v>Phazelie</v>
      </c>
      <c r="AI66" t="str">
        <f>IF(VLOOKUP($A66,Tabelle1!$A$4:$BU$73,36,0)&lt;&gt;"",AI$1,"")</f>
        <v/>
      </c>
      <c r="AJ66" t="str">
        <f>IF(VLOOKUP($A66,Tabelle1!$A$4:$BU$73,37,0)&lt;&gt;"",AJ$1,"")</f>
        <v/>
      </c>
      <c r="AK66" t="str">
        <f>IF(VLOOKUP($A66,Tabelle1!$A$4:$BU$73,38,0)&lt;&gt;"",AK$1,"")</f>
        <v/>
      </c>
      <c r="AL66" t="str">
        <f>IF(VLOOKUP($A66,Tabelle1!$A$4:$BU$73,39,0)&lt;&gt;"",AL$1,"")</f>
        <v/>
      </c>
      <c r="AM66" t="str">
        <f>IF(VLOOKUP($A66,Tabelle1!$A$4:$BU$73,40,0)&lt;&gt;"",AM$1,"")</f>
        <v/>
      </c>
      <c r="AN66" t="str">
        <f>IF(VLOOKUP($A66,Tabelle1!$A$4:$BU$73,41,0)&lt;&gt;"",AN$1,"")</f>
        <v/>
      </c>
      <c r="AO66" t="str">
        <f>IF(VLOOKUP($A66,Tabelle1!$A$4:$BU$73,42,0)&lt;&gt;"",AO$1,"")</f>
        <v>Sandhafer / Rauhafer</v>
      </c>
      <c r="AP66" t="str">
        <f>IF(VLOOKUP($A66,Tabelle1!$A$4:$BU$73,43,0)&lt;&gt;"",AP$1,"")</f>
        <v/>
      </c>
      <c r="AQ66" t="str">
        <f>IF(VLOOKUP($A66,Tabelle1!$A$4:$BU$73,44,0)&lt;&gt;"",AQ$1,"")</f>
        <v/>
      </c>
      <c r="AR66" t="str">
        <f>IF(VLOOKUP($A66,Tabelle1!$A$4:$BU$73,45,0)&lt;&gt;"",AR$1,"")</f>
        <v/>
      </c>
      <c r="AS66" t="str">
        <f>IF(VLOOKUP($A66,Tabelle1!$A$4:$BU$73,46,0)&lt;&gt;"",AS$1,"")</f>
        <v/>
      </c>
      <c r="AT66" t="str">
        <f>IF(VLOOKUP($A66,Tabelle1!$A$4:$BU$73,47,0)&lt;&gt;"",AT$1,"")</f>
        <v/>
      </c>
      <c r="AU66" t="str">
        <f>IF(VLOOKUP($A66,Tabelle1!$A$4:$BU$73,48,0)&lt;&gt;"",AU$1,"")</f>
        <v>Sonnenblume</v>
      </c>
      <c r="AV66" t="str">
        <f>IF(VLOOKUP($A66,Tabelle1!$A$4:$BU$73,49,0)&lt;&gt;"",AV$1,"")</f>
        <v/>
      </c>
      <c r="AW66" t="str">
        <f>IF(VLOOKUP($A66,Tabelle1!$A$4:$BU$73,50,0)&lt;&gt;"",AW$1,"")</f>
        <v/>
      </c>
      <c r="AX66" t="str">
        <f>IF(VLOOKUP($A66,Tabelle1!$A$4:$BU$73,51,0)&lt;&gt;"",AX$1,"")</f>
        <v>Sudangras</v>
      </c>
      <c r="AY66" t="str">
        <f>IF(VLOOKUP($A66,Tabelle1!$A$4:$BU$73,52,0)&lt;&gt;"",AY$1,"")</f>
        <v/>
      </c>
      <c r="AZ66" t="str">
        <f>IF(VLOOKUP($A66,Tabelle1!$A$4:$BU$73,53,0)&lt;&gt;"",AZ$1,"")</f>
        <v/>
      </c>
      <c r="BA66" t="str">
        <f>IF(VLOOKUP($A66,Tabelle1!$A$4:$BU$73,54,0)&lt;&gt;"",BA$1,"")</f>
        <v/>
      </c>
      <c r="BB66" t="str">
        <f>IF(VLOOKUP($A66,Tabelle1!$A$4:$BU$73,55,0)&lt;&gt;"",BB$1,"")</f>
        <v/>
      </c>
      <c r="BC66" t="str">
        <f>IF(VLOOKUP($A66,Tabelle1!$A$4:$BU$73,56,0)&lt;&gt;"",BC$1,"")</f>
        <v/>
      </c>
      <c r="BD66" t="str">
        <f>IF(VLOOKUP($A66,Tabelle1!$A$4:$BU$73,57,0)&lt;&gt;"",BD$1,"")</f>
        <v/>
      </c>
      <c r="BE66" t="str">
        <f>IF(VLOOKUP($A66,Tabelle1!$A$4:$BU$73,58,0)&lt;&gt;"",BE$1,"")</f>
        <v/>
      </c>
      <c r="BF66" t="str">
        <f>IF(VLOOKUP($A66,Tabelle1!$A$4:$BU$73,59,0)&lt;&gt;"",BF$1,"")</f>
        <v/>
      </c>
      <c r="BG66" t="str">
        <f>IF(VLOOKUP($A66,Tabelle1!$A$4:$BU$73,60,0)&lt;&gt;"",BG$1,"")</f>
        <v/>
      </c>
      <c r="BH66" t="str">
        <f>IF(VLOOKUP($A66,Tabelle1!$A$4:$BU$73,61,0)&lt;&gt;"",BH$1,"")</f>
        <v/>
      </c>
      <c r="BI66" t="str">
        <f>IF(VLOOKUP($A66,Tabelle1!$A$4:$BU$73,62,0)&lt;&gt;"",BI$1,"")</f>
        <v/>
      </c>
      <c r="BJ66" t="str">
        <f>IF(VLOOKUP($A66,Tabelle1!$A$4:$BU$73,63,0)&lt;&gt;"",BJ$1,"")</f>
        <v/>
      </c>
      <c r="BK66" t="str">
        <f>IF(VLOOKUP($A66,Tabelle1!$A$4:$BU$73,64,0)&lt;&gt;"",BK$1,"")</f>
        <v/>
      </c>
      <c r="BL66" t="str">
        <f>IF(VLOOKUP($A66,Tabelle1!$A$4:$BU$73,65,0)&lt;&gt;"",BL$1,"")</f>
        <v/>
      </c>
      <c r="BM66" t="str">
        <f>IF(VLOOKUP($A66,Tabelle1!$A$4:$BU$73,66,0)&lt;&gt;"",BM$1,"")</f>
        <v/>
      </c>
      <c r="BN66" t="str">
        <f>IF(VLOOKUP($A66,Tabelle1!$A$4:$BU$73,67,0)&lt;&gt;"",BN$1,"")</f>
        <v/>
      </c>
      <c r="BO66" t="str">
        <f>IF(VLOOKUP($A66,Tabelle1!$A$4:$BU$73,68,0)&lt;&gt;"",BO$1,"")</f>
        <v/>
      </c>
      <c r="BP66" t="str">
        <f>IF(VLOOKUP($A66,Tabelle1!$A$4:$BU$73,69,0)&lt;&gt;"",BP$1,"")</f>
        <v/>
      </c>
      <c r="BQ66" t="str">
        <f>IF(VLOOKUP($A66,Tabelle1!$A$4:$BU$73,70,0)&lt;&gt;"",BQ$1,"")</f>
        <v/>
      </c>
      <c r="BR66" t="str">
        <f>IF(VLOOKUP($A66,Tabelle1!$A$4:$BU$73,71,0)&lt;&gt;"",BR$1,"")</f>
        <v/>
      </c>
      <c r="BS66" t="str">
        <f>IF(VLOOKUP($A66,Tabelle1!$A$4:$BU$73,72,0)&lt;&gt;"",BS$1,"")</f>
        <v/>
      </c>
      <c r="BT66" t="str">
        <f>IF(VLOOKUP($A66,Tabelle1!$A$4:$BU$73,73,0)&lt;&gt;"",BT$1,"")</f>
        <v/>
      </c>
    </row>
    <row r="67" spans="1:73" x14ac:dyDescent="0.2">
      <c r="A67" t="s">
        <v>931</v>
      </c>
      <c r="B67">
        <v>45</v>
      </c>
      <c r="C67">
        <v>3.6</v>
      </c>
      <c r="D67" t="str">
        <f>IF(VLOOKUP($A67,Tabelle1!$A$4:$BU$73,5,0)&lt;&gt;"",D$1,"")</f>
        <v/>
      </c>
      <c r="E67" t="str">
        <f>IF(VLOOKUP($A67,Tabelle1!$A$4:$BU$73,6,0)&lt;&gt;"",E$1,"")</f>
        <v/>
      </c>
      <c r="F67" t="str">
        <f>IF(VLOOKUP($A67,Tabelle1!$A$4:$BU$73,7,0)&lt;&gt;"",F$1,"")</f>
        <v>Alexandrinerklee</v>
      </c>
      <c r="G67" t="str">
        <f>IF(VLOOKUP($A67,Tabelle1!$A$4:$BU$73,8,0)&lt;&gt;"",G$1,"")</f>
        <v/>
      </c>
      <c r="H67" t="str">
        <f>IF(VLOOKUP($A67,Tabelle1!$A$4:$BU$73,9,0)&lt;&gt;"",H$1,"")</f>
        <v>Lupine</v>
      </c>
      <c r="I67" t="str">
        <f>IF(VLOOKUP($A67,Tabelle1!$A$4:$BU$73,10,0)&lt;&gt;"",I$1,"")</f>
        <v/>
      </c>
      <c r="J67" t="str">
        <f>IF(VLOOKUP($A67,Tabelle1!$A$4:$BU$73,11,0)&lt;&gt;"",J$1,"")</f>
        <v/>
      </c>
      <c r="K67" t="str">
        <f>IF(VLOOKUP($A67,Tabelle1!$A$4:$BU$73,12,0)&lt;&gt;"",K$1,"")</f>
        <v/>
      </c>
      <c r="L67" t="str">
        <f>IF(VLOOKUP($A67,Tabelle1!$A$4:$BU$73,13,0)&lt;&gt;"",L$1,"")</f>
        <v/>
      </c>
      <c r="M67" t="str">
        <f>IF(VLOOKUP($A67,Tabelle1!$A$4:$BU$73,14,0)&lt;&gt;"",M$1,"")</f>
        <v>Futtererbse</v>
      </c>
      <c r="N67" t="str">
        <f>IF(VLOOKUP($A67,Tabelle1!$A$4:$BU$73,15,0)&lt;&gt;"",N$1,"")</f>
        <v/>
      </c>
      <c r="O67" t="str">
        <f>IF(VLOOKUP($A67,Tabelle1!$A$4:$BU$73,16,0)&lt;&gt;"",O$1,"")</f>
        <v/>
      </c>
      <c r="P67" t="str">
        <f>IF(VLOOKUP($A67,Tabelle1!$A$4:$BU$73,17,0)&lt;&gt;"",P$1,"")</f>
        <v/>
      </c>
      <c r="Q67" t="str">
        <f>IF(VLOOKUP($A67,Tabelle1!$A$4:$BU$73,18,0)&lt;&gt;"",Q$1,"")</f>
        <v/>
      </c>
      <c r="R67" t="str">
        <f>IF(VLOOKUP($A67,Tabelle1!$A$4:$BU$73,19,0)&lt;&gt;"",R$1,"")</f>
        <v/>
      </c>
      <c r="S67" t="str">
        <f>IF(VLOOKUP($A67,Tabelle1!$A$4:$BU$73,20,0)&lt;&gt;"",S$1,"")</f>
        <v/>
      </c>
      <c r="T67" t="str">
        <f>IF(VLOOKUP($A67,Tabelle1!$A$4:$BU$73,21,0)&lt;&gt;"",T$1,"")</f>
        <v/>
      </c>
      <c r="U67" t="str">
        <f>IF(VLOOKUP($A67,Tabelle1!$A$4:$BU$73,22,0)&lt;&gt;"",U$1,"")</f>
        <v/>
      </c>
      <c r="V67" t="str">
        <f>IF(VLOOKUP($A67,Tabelle1!$A$4:$BU$73,23,0)&lt;&gt;"",V$1,"")</f>
        <v/>
      </c>
      <c r="W67" t="str">
        <f>IF(VLOOKUP($A67,Tabelle1!$A$4:$BU$73,24,0)&lt;&gt;"",W$1,"")</f>
        <v/>
      </c>
      <c r="X67" t="str">
        <f>IF(VLOOKUP($A67,Tabelle1!$A$4:$BU$73,25,0)&lt;&gt;"",X$1,"")</f>
        <v/>
      </c>
      <c r="Y67" t="str">
        <f>IF(VLOOKUP($A67,Tabelle1!$A$4:$BU$73,26,0)&lt;&gt;"",Y$1,"")</f>
        <v/>
      </c>
      <c r="Z67" t="str">
        <f>IF(VLOOKUP($A67,Tabelle1!$A$4:$BU$73,27,0)&lt;&gt;"",Z$1,"")</f>
        <v/>
      </c>
      <c r="AA67" t="str">
        <f>IF(VLOOKUP($A67,Tabelle1!$A$4:$BU$73,28,0)&lt;&gt;"",AA$1,"")</f>
        <v/>
      </c>
      <c r="AB67" t="str">
        <f>IF(VLOOKUP($A67,Tabelle1!$A$4:$BU$73,29,0)&lt;&gt;"",AB$1,"")</f>
        <v/>
      </c>
      <c r="AC67" t="str">
        <f>IF(VLOOKUP($A67,Tabelle1!$A$4:$BU$73,30,0)&lt;&gt;"",AC$1,"")</f>
        <v/>
      </c>
      <c r="AD67" t="str">
        <f>IF(VLOOKUP($A67,Tabelle1!$A$4:$BU$73,31,0)&lt;&gt;"",AD$1,"")</f>
        <v/>
      </c>
      <c r="AE67" t="str">
        <f>IF(VLOOKUP($A67,Tabelle1!$A$4:$BU$73,32,0)&lt;&gt;"",AE$1,"")</f>
        <v/>
      </c>
      <c r="AF67" t="str">
        <f>IF(VLOOKUP($A67,Tabelle1!$A$4:$BU$73,33,0)&lt;&gt;"",AF$1,"")</f>
        <v/>
      </c>
      <c r="AG67" t="str">
        <f>IF(VLOOKUP($A67,Tabelle1!$A$4:$BU$73,34,0)&lt;&gt;"",AG$1,"")</f>
        <v/>
      </c>
      <c r="AH67" t="str">
        <f>IF(VLOOKUP($A67,Tabelle1!$A$4:$BU$73,35,0)&lt;&gt;"",AH$1,"")</f>
        <v>Phazelie</v>
      </c>
      <c r="AI67" t="str">
        <f>IF(VLOOKUP($A67,Tabelle1!$A$4:$BU$73,36,0)&lt;&gt;"",AI$1,"")</f>
        <v/>
      </c>
      <c r="AJ67" t="str">
        <f>IF(VLOOKUP($A67,Tabelle1!$A$4:$BU$73,37,0)&lt;&gt;"",AJ$1,"")</f>
        <v/>
      </c>
      <c r="AK67" t="str">
        <f>IF(VLOOKUP($A67,Tabelle1!$A$4:$BU$73,38,0)&lt;&gt;"",AK$1,"")</f>
        <v/>
      </c>
      <c r="AL67" t="str">
        <f>IF(VLOOKUP($A67,Tabelle1!$A$4:$BU$73,39,0)&lt;&gt;"",AL$1,"")</f>
        <v/>
      </c>
      <c r="AM67" t="str">
        <f>IF(VLOOKUP($A67,Tabelle1!$A$4:$BU$73,40,0)&lt;&gt;"",AM$1,"")</f>
        <v>Saatwicke / Sommerwicke</v>
      </c>
      <c r="AN67" t="str">
        <f>IF(VLOOKUP($A67,Tabelle1!$A$4:$BU$73,41,0)&lt;&gt;"",AN$1,"")</f>
        <v/>
      </c>
      <c r="AO67" t="str">
        <f>IF(VLOOKUP($A67,Tabelle1!$A$4:$BU$73,42,0)&lt;&gt;"",AO$1,"")</f>
        <v>Sandhafer / Rauhafer</v>
      </c>
      <c r="AP67" t="str">
        <f>IF(VLOOKUP($A67,Tabelle1!$A$4:$BU$73,43,0)&lt;&gt;"",AP$1,"")</f>
        <v/>
      </c>
      <c r="AQ67" t="str">
        <f>IF(VLOOKUP($A67,Tabelle1!$A$4:$BU$73,44,0)&lt;&gt;"",AQ$1,"")</f>
        <v/>
      </c>
      <c r="AR67" t="str">
        <f>IF(VLOOKUP($A67,Tabelle1!$A$4:$BU$73,45,0)&lt;&gt;"",AR$1,"")</f>
        <v/>
      </c>
      <c r="AS67" t="str">
        <f>IF(VLOOKUP($A67,Tabelle1!$A$4:$BU$73,46,0)&lt;&gt;"",AS$1,"")</f>
        <v/>
      </c>
      <c r="AT67" t="str">
        <f>IF(VLOOKUP($A67,Tabelle1!$A$4:$BU$73,47,0)&lt;&gt;"",AT$1,"")</f>
        <v/>
      </c>
      <c r="AU67" t="str">
        <f>IF(VLOOKUP($A67,Tabelle1!$A$4:$BU$73,48,0)&lt;&gt;"",AU$1,"")</f>
        <v/>
      </c>
      <c r="AV67" t="str">
        <f>IF(VLOOKUP($A67,Tabelle1!$A$4:$BU$73,49,0)&lt;&gt;"",AV$1,"")</f>
        <v/>
      </c>
      <c r="AW67" t="str">
        <f>IF(VLOOKUP($A67,Tabelle1!$A$4:$BU$73,50,0)&lt;&gt;"",AW$1,"")</f>
        <v/>
      </c>
      <c r="AX67" t="str">
        <f>IF(VLOOKUP($A67,Tabelle1!$A$4:$BU$73,51,0)&lt;&gt;"",AX$1,"")</f>
        <v/>
      </c>
      <c r="AY67" t="str">
        <f>IF(VLOOKUP($A67,Tabelle1!$A$4:$BU$73,52,0)&lt;&gt;"",AY$1,"")</f>
        <v/>
      </c>
      <c r="AZ67" t="str">
        <f>IF(VLOOKUP($A67,Tabelle1!$A$4:$BU$73,53,0)&lt;&gt;"",AZ$1,"")</f>
        <v/>
      </c>
      <c r="BA67" t="str">
        <f>IF(VLOOKUP($A67,Tabelle1!$A$4:$BU$73,54,0)&lt;&gt;"",BA$1,"")</f>
        <v/>
      </c>
      <c r="BB67" t="str">
        <f>IF(VLOOKUP($A67,Tabelle1!$A$4:$BU$73,55,0)&lt;&gt;"",BB$1,"")</f>
        <v/>
      </c>
      <c r="BC67" t="str">
        <f>IF(VLOOKUP($A67,Tabelle1!$A$4:$BU$73,56,0)&lt;&gt;"",BC$1,"")</f>
        <v/>
      </c>
      <c r="BD67" t="str">
        <f>IF(VLOOKUP($A67,Tabelle1!$A$4:$BU$73,57,0)&lt;&gt;"",BD$1,"")</f>
        <v/>
      </c>
      <c r="BE67" t="str">
        <f>IF(VLOOKUP($A67,Tabelle1!$A$4:$BU$73,58,0)&lt;&gt;"",BE$1,"")</f>
        <v/>
      </c>
      <c r="BF67" t="str">
        <f>IF(VLOOKUP($A67,Tabelle1!$A$4:$BU$73,59,0)&lt;&gt;"",BF$1,"")</f>
        <v/>
      </c>
      <c r="BG67" t="str">
        <f>IF(VLOOKUP($A67,Tabelle1!$A$4:$BU$73,60,0)&lt;&gt;"",BG$1,"")</f>
        <v/>
      </c>
      <c r="BH67" t="str">
        <f>IF(VLOOKUP($A67,Tabelle1!$A$4:$BU$73,61,0)&lt;&gt;"",BH$1,"")</f>
        <v>Seradella</v>
      </c>
      <c r="BI67" t="str">
        <f>IF(VLOOKUP($A67,Tabelle1!$A$4:$BU$73,62,0)&lt;&gt;"",BI$1,"")</f>
        <v/>
      </c>
      <c r="BJ67" t="str">
        <f>IF(VLOOKUP($A67,Tabelle1!$A$4:$BU$73,63,0)&lt;&gt;"",BJ$1,"")</f>
        <v/>
      </c>
      <c r="BK67" t="str">
        <f>IF(VLOOKUP($A67,Tabelle1!$A$4:$BU$73,64,0)&lt;&gt;"",BK$1,"")</f>
        <v/>
      </c>
      <c r="BL67" t="str">
        <f>IF(VLOOKUP($A67,Tabelle1!$A$4:$BU$73,65,0)&lt;&gt;"",BL$1,"")</f>
        <v/>
      </c>
      <c r="BM67" t="str">
        <f>IF(VLOOKUP($A67,Tabelle1!$A$4:$BU$73,66,0)&lt;&gt;"",BM$1,"")</f>
        <v/>
      </c>
      <c r="BN67" t="str">
        <f>IF(VLOOKUP($A67,Tabelle1!$A$4:$BU$73,67,0)&lt;&gt;"",BN$1,"")</f>
        <v/>
      </c>
      <c r="BO67" t="str">
        <f>IF(VLOOKUP($A67,Tabelle1!$A$4:$BU$73,68,0)&lt;&gt;"",BO$1,"")</f>
        <v/>
      </c>
      <c r="BP67" t="str">
        <f>IF(VLOOKUP($A67,Tabelle1!$A$4:$BU$73,69,0)&lt;&gt;"",BP$1,"")</f>
        <v/>
      </c>
      <c r="BQ67" t="str">
        <f>IF(VLOOKUP($A67,Tabelle1!$A$4:$BU$73,70,0)&lt;&gt;"",BQ$1,"")</f>
        <v/>
      </c>
      <c r="BR67" t="str">
        <f>IF(VLOOKUP($A67,Tabelle1!$A$4:$BU$73,71,0)&lt;&gt;"",BR$1,"")</f>
        <v/>
      </c>
      <c r="BS67" t="str">
        <f>IF(VLOOKUP($A67,Tabelle1!$A$4:$BU$73,72,0)&lt;&gt;"",BS$1,"")</f>
        <v/>
      </c>
      <c r="BT67" t="str">
        <f>IF(VLOOKUP($A67,Tabelle1!$A$4:$BU$73,73,0)&lt;&gt;"",BT$1,"")</f>
        <v/>
      </c>
    </row>
    <row r="68" spans="1:73" x14ac:dyDescent="0.2">
      <c r="A68" t="s">
        <v>932</v>
      </c>
      <c r="B68">
        <v>45</v>
      </c>
      <c r="C68">
        <v>3.71</v>
      </c>
      <c r="D68" t="str">
        <f>IF(VLOOKUP($A68,Tabelle1!$A$4:$BU$73,5,0)&lt;&gt;"",D$1,"")</f>
        <v/>
      </c>
      <c r="E68" t="str">
        <f>IF(VLOOKUP($A68,Tabelle1!$A$4:$BU$73,6,0)&lt;&gt;"",E$1,"")</f>
        <v/>
      </c>
      <c r="F68" t="str">
        <f>IF(VLOOKUP($A68,Tabelle1!$A$4:$BU$73,7,0)&lt;&gt;"",F$1,"")</f>
        <v>Alexandrinerklee</v>
      </c>
      <c r="G68" t="str">
        <f>IF(VLOOKUP($A68,Tabelle1!$A$4:$BU$73,8,0)&lt;&gt;"",G$1,"")</f>
        <v/>
      </c>
      <c r="H68" t="str">
        <f>IF(VLOOKUP($A68,Tabelle1!$A$4:$BU$73,9,0)&lt;&gt;"",H$1,"")</f>
        <v>Lupine</v>
      </c>
      <c r="I68" t="str">
        <f>IF(VLOOKUP($A68,Tabelle1!$A$4:$BU$73,10,0)&lt;&gt;"",I$1,"")</f>
        <v/>
      </c>
      <c r="J68" t="str">
        <f>IF(VLOOKUP($A68,Tabelle1!$A$4:$BU$73,11,0)&lt;&gt;"",J$1,"")</f>
        <v/>
      </c>
      <c r="K68" t="str">
        <f>IF(VLOOKUP($A68,Tabelle1!$A$4:$BU$73,12,0)&lt;&gt;"",K$1,"")</f>
        <v/>
      </c>
      <c r="L68" t="str">
        <f>IF(VLOOKUP($A68,Tabelle1!$A$4:$BU$73,13,0)&lt;&gt;"",L$1,"")</f>
        <v/>
      </c>
      <c r="M68" t="str">
        <f>IF(VLOOKUP($A68,Tabelle1!$A$4:$BU$73,14,0)&lt;&gt;"",M$1,"")</f>
        <v>Futtererbse</v>
      </c>
      <c r="N68" t="str">
        <f>IF(VLOOKUP($A68,Tabelle1!$A$4:$BU$73,15,0)&lt;&gt;"",N$1,"")</f>
        <v/>
      </c>
      <c r="O68" t="str">
        <f>IF(VLOOKUP($A68,Tabelle1!$A$4:$BU$73,16,0)&lt;&gt;"",O$1,"")</f>
        <v/>
      </c>
      <c r="P68" t="str">
        <f>IF(VLOOKUP($A68,Tabelle1!$A$4:$BU$73,17,0)&lt;&gt;"",P$1,"")</f>
        <v/>
      </c>
      <c r="Q68" t="str">
        <f>IF(VLOOKUP($A68,Tabelle1!$A$4:$BU$73,18,0)&lt;&gt;"",Q$1,"")</f>
        <v/>
      </c>
      <c r="R68" t="str">
        <f>IF(VLOOKUP($A68,Tabelle1!$A$4:$BU$73,19,0)&lt;&gt;"",R$1,"")</f>
        <v/>
      </c>
      <c r="S68" t="str">
        <f>IF(VLOOKUP($A68,Tabelle1!$A$4:$BU$73,20,0)&lt;&gt;"",S$1,"")</f>
        <v/>
      </c>
      <c r="T68" t="str">
        <f>IF(VLOOKUP($A68,Tabelle1!$A$4:$BU$73,21,0)&lt;&gt;"",T$1,"")</f>
        <v/>
      </c>
      <c r="U68" t="str">
        <f>IF(VLOOKUP($A68,Tabelle1!$A$4:$BU$73,22,0)&lt;&gt;"",U$1,"")</f>
        <v/>
      </c>
      <c r="V68" t="str">
        <f>IF(VLOOKUP($A68,Tabelle1!$A$4:$BU$73,23,0)&lt;&gt;"",V$1,"")</f>
        <v/>
      </c>
      <c r="W68" t="str">
        <f>IF(VLOOKUP($A68,Tabelle1!$A$4:$BU$73,24,0)&lt;&gt;"",W$1,"")</f>
        <v/>
      </c>
      <c r="X68" t="str">
        <f>IF(VLOOKUP($A68,Tabelle1!$A$4:$BU$73,25,0)&lt;&gt;"",X$1,"")</f>
        <v/>
      </c>
      <c r="Y68" t="str">
        <f>IF(VLOOKUP($A68,Tabelle1!$A$4:$BU$73,26,0)&lt;&gt;"",Y$1,"")</f>
        <v/>
      </c>
      <c r="Z68" t="str">
        <f>IF(VLOOKUP($A68,Tabelle1!$A$4:$BU$73,27,0)&lt;&gt;"",Z$1,"")</f>
        <v/>
      </c>
      <c r="AA68" t="str">
        <f>IF(VLOOKUP($A68,Tabelle1!$A$4:$BU$73,28,0)&lt;&gt;"",AA$1,"")</f>
        <v/>
      </c>
      <c r="AB68" t="str">
        <f>IF(VLOOKUP($A68,Tabelle1!$A$4:$BU$73,29,0)&lt;&gt;"",AB$1,"")</f>
        <v/>
      </c>
      <c r="AC68" t="str">
        <f>IF(VLOOKUP($A68,Tabelle1!$A$4:$BU$73,30,0)&lt;&gt;"",AC$1,"")</f>
        <v/>
      </c>
      <c r="AD68" t="str">
        <f>IF(VLOOKUP($A68,Tabelle1!$A$4:$BU$73,31,0)&lt;&gt;"",AD$1,"")</f>
        <v>Öllein</v>
      </c>
      <c r="AE68" t="str">
        <f>IF(VLOOKUP($A68,Tabelle1!$A$4:$BU$73,32,0)&lt;&gt;"",AE$1,"")</f>
        <v>Ölrettich</v>
      </c>
      <c r="AF68" t="str">
        <f>IF(VLOOKUP($A68,Tabelle1!$A$4:$BU$73,33,0)&lt;&gt;"",AF$1,"")</f>
        <v/>
      </c>
      <c r="AG68" t="str">
        <f>IF(VLOOKUP($A68,Tabelle1!$A$4:$BU$73,34,0)&lt;&gt;"",AG$1,"")</f>
        <v/>
      </c>
      <c r="AH68" t="str">
        <f>IF(VLOOKUP($A68,Tabelle1!$A$4:$BU$73,35,0)&lt;&gt;"",AH$1,"")</f>
        <v/>
      </c>
      <c r="AI68" t="str">
        <f>IF(VLOOKUP($A68,Tabelle1!$A$4:$BU$73,36,0)&lt;&gt;"",AI$1,"")</f>
        <v/>
      </c>
      <c r="AJ68" t="str">
        <f>IF(VLOOKUP($A68,Tabelle1!$A$4:$BU$73,37,0)&lt;&gt;"",AJ$1,"")</f>
        <v/>
      </c>
      <c r="AK68" t="str">
        <f>IF(VLOOKUP($A68,Tabelle1!$A$4:$BU$73,38,0)&lt;&gt;"",AK$1,"")</f>
        <v/>
      </c>
      <c r="AL68" t="str">
        <f>IF(VLOOKUP($A68,Tabelle1!$A$4:$BU$73,39,0)&lt;&gt;"",AL$1,"")</f>
        <v/>
      </c>
      <c r="AM68" t="str">
        <f>IF(VLOOKUP($A68,Tabelle1!$A$4:$BU$73,40,0)&lt;&gt;"",AM$1,"")</f>
        <v>Saatwicke / Sommerwicke</v>
      </c>
      <c r="AN68" t="str">
        <f>IF(VLOOKUP($A68,Tabelle1!$A$4:$BU$73,41,0)&lt;&gt;"",AN$1,"")</f>
        <v/>
      </c>
      <c r="AO68" t="str">
        <f>IF(VLOOKUP($A68,Tabelle1!$A$4:$BU$73,42,0)&lt;&gt;"",AO$1,"")</f>
        <v>Sandhafer / Rauhafer</v>
      </c>
      <c r="AP68" t="str">
        <f>IF(VLOOKUP($A68,Tabelle1!$A$4:$BU$73,43,0)&lt;&gt;"",AP$1,"")</f>
        <v/>
      </c>
      <c r="AQ68" t="str">
        <f>IF(VLOOKUP($A68,Tabelle1!$A$4:$BU$73,44,0)&lt;&gt;"",AQ$1,"")</f>
        <v/>
      </c>
      <c r="AR68" t="str">
        <f>IF(VLOOKUP($A68,Tabelle1!$A$4:$BU$73,45,0)&lt;&gt;"",AR$1,"")</f>
        <v/>
      </c>
      <c r="AS68" t="str">
        <f>IF(VLOOKUP($A68,Tabelle1!$A$4:$BU$73,46,0)&lt;&gt;"",AS$1,"")</f>
        <v/>
      </c>
      <c r="AT68" t="str">
        <f>IF(VLOOKUP($A68,Tabelle1!$A$4:$BU$73,47,0)&lt;&gt;"",AT$1,"")</f>
        <v/>
      </c>
      <c r="AU68" t="str">
        <f>IF(VLOOKUP($A68,Tabelle1!$A$4:$BU$73,48,0)&lt;&gt;"",AU$1,"")</f>
        <v>Sonnenblume</v>
      </c>
      <c r="AV68" t="str">
        <f>IF(VLOOKUP($A68,Tabelle1!$A$4:$BU$73,49,0)&lt;&gt;"",AV$1,"")</f>
        <v/>
      </c>
      <c r="AW68" t="str">
        <f>IF(VLOOKUP($A68,Tabelle1!$A$4:$BU$73,50,0)&lt;&gt;"",AW$1,"")</f>
        <v/>
      </c>
      <c r="AX68" t="str">
        <f>IF(VLOOKUP($A68,Tabelle1!$A$4:$BU$73,51,0)&lt;&gt;"",AX$1,"")</f>
        <v/>
      </c>
      <c r="AY68" t="str">
        <f>IF(VLOOKUP($A68,Tabelle1!$A$4:$BU$73,52,0)&lt;&gt;"",AY$1,"")</f>
        <v/>
      </c>
      <c r="AZ68" t="str">
        <f>IF(VLOOKUP($A68,Tabelle1!$A$4:$BU$73,53,0)&lt;&gt;"",AZ$1,"")</f>
        <v/>
      </c>
      <c r="BA68" t="str">
        <f>IF(VLOOKUP($A68,Tabelle1!$A$4:$BU$73,54,0)&lt;&gt;"",BA$1,"")</f>
        <v/>
      </c>
      <c r="BB68" t="str">
        <f>IF(VLOOKUP($A68,Tabelle1!$A$4:$BU$73,55,0)&lt;&gt;"",BB$1,"")</f>
        <v/>
      </c>
      <c r="BC68" t="str">
        <f>IF(VLOOKUP($A68,Tabelle1!$A$4:$BU$73,56,0)&lt;&gt;"",BC$1,"")</f>
        <v/>
      </c>
      <c r="BD68" t="str">
        <f>IF(VLOOKUP($A68,Tabelle1!$A$4:$BU$73,57,0)&lt;&gt;"",BD$1,"")</f>
        <v/>
      </c>
      <c r="BE68" t="str">
        <f>IF(VLOOKUP($A68,Tabelle1!$A$4:$BU$73,58,0)&lt;&gt;"",BE$1,"")</f>
        <v/>
      </c>
      <c r="BF68" t="str">
        <f>IF(VLOOKUP($A68,Tabelle1!$A$4:$BU$73,59,0)&lt;&gt;"",BF$1,"")</f>
        <v/>
      </c>
      <c r="BG68" t="str">
        <f>IF(VLOOKUP($A68,Tabelle1!$A$4:$BU$73,60,0)&lt;&gt;"",BG$1,"")</f>
        <v/>
      </c>
      <c r="BH68" t="str">
        <f>IF(VLOOKUP($A68,Tabelle1!$A$4:$BU$73,61,0)&lt;&gt;"",BH$1,"")</f>
        <v>Seradella</v>
      </c>
      <c r="BI68" t="str">
        <f>IF(VLOOKUP($A68,Tabelle1!$A$4:$BU$73,62,0)&lt;&gt;"",BI$1,"")</f>
        <v/>
      </c>
      <c r="BJ68" t="str">
        <f>IF(VLOOKUP($A68,Tabelle1!$A$4:$BU$73,63,0)&lt;&gt;"",BJ$1,"")</f>
        <v/>
      </c>
      <c r="BK68" t="str">
        <f>IF(VLOOKUP($A68,Tabelle1!$A$4:$BU$73,64,0)&lt;&gt;"",BK$1,"")</f>
        <v/>
      </c>
      <c r="BL68" t="str">
        <f>IF(VLOOKUP($A68,Tabelle1!$A$4:$BU$73,65,0)&lt;&gt;"",BL$1,"")</f>
        <v/>
      </c>
      <c r="BM68" t="str">
        <f>IF(VLOOKUP($A68,Tabelle1!$A$4:$BU$73,66,0)&lt;&gt;"",BM$1,"")</f>
        <v/>
      </c>
      <c r="BN68" t="str">
        <f>IF(VLOOKUP($A68,Tabelle1!$A$4:$BU$73,67,0)&lt;&gt;"",BN$1,"")</f>
        <v/>
      </c>
      <c r="BO68" t="str">
        <f>IF(VLOOKUP($A68,Tabelle1!$A$4:$BU$73,68,0)&lt;&gt;"",BO$1,"")</f>
        <v/>
      </c>
      <c r="BP68" t="str">
        <f>IF(VLOOKUP($A68,Tabelle1!$A$4:$BU$73,69,0)&lt;&gt;"",BP$1,"")</f>
        <v/>
      </c>
      <c r="BQ68" t="str">
        <f>IF(VLOOKUP($A68,Tabelle1!$A$4:$BU$73,70,0)&lt;&gt;"",BQ$1,"")</f>
        <v/>
      </c>
      <c r="BR68" t="str">
        <f>IF(VLOOKUP($A68,Tabelle1!$A$4:$BU$73,71,0)&lt;&gt;"",BR$1,"")</f>
        <v/>
      </c>
      <c r="BS68" t="str">
        <f>IF(VLOOKUP($A68,Tabelle1!$A$4:$BU$73,72,0)&lt;&gt;"",BS$1,"")</f>
        <v/>
      </c>
      <c r="BT68" t="str">
        <f>IF(VLOOKUP($A68,Tabelle1!$A$4:$BU$73,73,0)&lt;&gt;"",BT$1,"")</f>
        <v/>
      </c>
      <c r="BU68" t="s">
        <v>962</v>
      </c>
    </row>
    <row r="69" spans="1:73" x14ac:dyDescent="0.2">
      <c r="A69" t="s">
        <v>500</v>
      </c>
      <c r="B69">
        <v>25</v>
      </c>
      <c r="C69">
        <v>3.4</v>
      </c>
      <c r="D69" t="str">
        <f>IF(VLOOKUP($A69,Tabelle1!$A$4:$BU$73,5,0)&lt;&gt;"",D$1,"")</f>
        <v/>
      </c>
      <c r="E69" t="str">
        <f>IF(VLOOKUP($A69,Tabelle1!$A$4:$BU$73,6,0)&lt;&gt;"",E$1,"")</f>
        <v/>
      </c>
      <c r="F69" t="str">
        <f>IF(VLOOKUP($A69,Tabelle1!$A$4:$BU$73,7,0)&lt;&gt;"",F$1,"")</f>
        <v/>
      </c>
      <c r="G69" t="str">
        <f>IF(VLOOKUP($A69,Tabelle1!$A$4:$BU$73,8,0)&lt;&gt;"",G$1,"")</f>
        <v/>
      </c>
      <c r="H69" t="str">
        <f>IF(VLOOKUP($A69,Tabelle1!$A$4:$BU$73,9,0)&lt;&gt;"",H$1,"")</f>
        <v/>
      </c>
      <c r="I69" t="str">
        <f>IF(VLOOKUP($A69,Tabelle1!$A$4:$BU$73,10,0)&lt;&gt;"",I$1,"")</f>
        <v xml:space="preserve">Buchweizen </v>
      </c>
      <c r="J69" t="str">
        <f>IF(VLOOKUP($A69,Tabelle1!$A$4:$BU$73,11,0)&lt;&gt;"",J$1,"")</f>
        <v/>
      </c>
      <c r="K69" t="str">
        <f>IF(VLOOKUP($A69,Tabelle1!$A$4:$BU$73,12,0)&lt;&gt;"",K$1,"")</f>
        <v/>
      </c>
      <c r="L69" t="str">
        <f>IF(VLOOKUP($A69,Tabelle1!$A$4:$BU$73,13,0)&lt;&gt;"",L$1,"")</f>
        <v/>
      </c>
      <c r="M69" t="str">
        <f>IF(VLOOKUP($A69,Tabelle1!$A$4:$BU$73,14,0)&lt;&gt;"",M$1,"")</f>
        <v/>
      </c>
      <c r="N69" t="str">
        <f>IF(VLOOKUP($A69,Tabelle1!$A$4:$BU$73,15,0)&lt;&gt;"",N$1,"")</f>
        <v/>
      </c>
      <c r="O69" t="str">
        <f>IF(VLOOKUP($A69,Tabelle1!$A$4:$BU$73,16,0)&lt;&gt;"",O$1,"")</f>
        <v/>
      </c>
      <c r="P69" t="str">
        <f>IF(VLOOKUP($A69,Tabelle1!$A$4:$BU$73,17,0)&lt;&gt;"",P$1,"")</f>
        <v/>
      </c>
      <c r="Q69" t="str">
        <f>IF(VLOOKUP($A69,Tabelle1!$A$4:$BU$73,18,0)&lt;&gt;"",Q$1,"")</f>
        <v/>
      </c>
      <c r="R69" t="str">
        <f>IF(VLOOKUP($A69,Tabelle1!$A$4:$BU$73,19,0)&lt;&gt;"",R$1,"")</f>
        <v/>
      </c>
      <c r="S69" t="str">
        <f>IF(VLOOKUP($A69,Tabelle1!$A$4:$BU$73,20,0)&lt;&gt;"",S$1,"")</f>
        <v/>
      </c>
      <c r="T69" t="str">
        <f>IF(VLOOKUP($A69,Tabelle1!$A$4:$BU$73,21,0)&lt;&gt;"",T$1,"")</f>
        <v/>
      </c>
      <c r="U69" t="str">
        <f>IF(VLOOKUP($A69,Tabelle1!$A$4:$BU$73,22,0)&lt;&gt;"",U$1,"")</f>
        <v/>
      </c>
      <c r="V69" t="str">
        <f>IF(VLOOKUP($A69,Tabelle1!$A$4:$BU$73,23,0)&lt;&gt;"",V$1,"")</f>
        <v>Kresse</v>
      </c>
      <c r="W69" t="str">
        <f>IF(VLOOKUP($A69,Tabelle1!$A$4:$BU$73,24,0)&lt;&gt;"",W$1,"")</f>
        <v/>
      </c>
      <c r="X69" t="str">
        <f>IF(VLOOKUP($A69,Tabelle1!$A$4:$BU$73,25,0)&lt;&gt;"",X$1,"")</f>
        <v/>
      </c>
      <c r="Y69" t="str">
        <f>IF(VLOOKUP($A69,Tabelle1!$A$4:$BU$73,26,0)&lt;&gt;"",Y$1,"")</f>
        <v/>
      </c>
      <c r="Z69" t="str">
        <f>IF(VLOOKUP($A69,Tabelle1!$A$4:$BU$73,27,0)&lt;&gt;"",Z$1,"")</f>
        <v/>
      </c>
      <c r="AA69" t="str">
        <f>IF(VLOOKUP($A69,Tabelle1!$A$4:$BU$73,28,0)&lt;&gt;"",AA$1,"")</f>
        <v/>
      </c>
      <c r="AB69" t="str">
        <f>IF(VLOOKUP($A69,Tabelle1!$A$4:$BU$73,29,0)&lt;&gt;"",AB$1,"")</f>
        <v/>
      </c>
      <c r="AC69" t="str">
        <f>IF(VLOOKUP($A69,Tabelle1!$A$4:$BU$73,30,0)&lt;&gt;"",AC$1,"")</f>
        <v>Schwarzsamen/Ramtilkraut/Gingellikraut/Mungo</v>
      </c>
      <c r="AD69" t="str">
        <f>IF(VLOOKUP($A69,Tabelle1!$A$4:$BU$73,31,0)&lt;&gt;"",AD$1,"")</f>
        <v/>
      </c>
      <c r="AE69" t="str">
        <f>IF(VLOOKUP($A69,Tabelle1!$A$4:$BU$73,32,0)&lt;&gt;"",AE$1,"")</f>
        <v>Ölrettich</v>
      </c>
      <c r="AF69" t="str">
        <f>IF(VLOOKUP($A69,Tabelle1!$A$4:$BU$73,33,0)&lt;&gt;"",AF$1,"")</f>
        <v/>
      </c>
      <c r="AG69" t="str">
        <f>IF(VLOOKUP($A69,Tabelle1!$A$4:$BU$73,34,0)&lt;&gt;"",AG$1,"")</f>
        <v/>
      </c>
      <c r="AH69" t="str">
        <f>IF(VLOOKUP($A69,Tabelle1!$A$4:$BU$73,35,0)&lt;&gt;"",AH$1,"")</f>
        <v>Phazelie</v>
      </c>
      <c r="AI69" t="str">
        <f>IF(VLOOKUP($A69,Tabelle1!$A$4:$BU$73,36,0)&lt;&gt;"",AI$1,"")</f>
        <v/>
      </c>
      <c r="AJ69" t="str">
        <f>IF(VLOOKUP($A69,Tabelle1!$A$4:$BU$73,37,0)&lt;&gt;"",AJ$1,"")</f>
        <v/>
      </c>
      <c r="AK69" t="str">
        <f>IF(VLOOKUP($A69,Tabelle1!$A$4:$BU$73,38,0)&lt;&gt;"",AK$1,"")</f>
        <v/>
      </c>
      <c r="AL69" t="str">
        <f>IF(VLOOKUP($A69,Tabelle1!$A$4:$BU$73,39,0)&lt;&gt;"",AL$1,"")</f>
        <v/>
      </c>
      <c r="AM69" t="str">
        <f>IF(VLOOKUP($A69,Tabelle1!$A$4:$BU$73,40,0)&lt;&gt;"",AM$1,"")</f>
        <v>Saatwicke / Sommerwicke</v>
      </c>
      <c r="AN69" t="str">
        <f>IF(VLOOKUP($A69,Tabelle1!$A$4:$BU$73,41,0)&lt;&gt;"",AN$1,"")</f>
        <v/>
      </c>
      <c r="AO69" t="str">
        <f>IF(VLOOKUP($A69,Tabelle1!$A$4:$BU$73,42,0)&lt;&gt;"",AO$1,"")</f>
        <v>Sandhafer / Rauhafer</v>
      </c>
      <c r="AP69" t="str">
        <f>IF(VLOOKUP($A69,Tabelle1!$A$4:$BU$73,43,0)&lt;&gt;"",AP$1,"")</f>
        <v/>
      </c>
      <c r="AQ69" t="str">
        <f>IF(VLOOKUP($A69,Tabelle1!$A$4:$BU$73,44,0)&lt;&gt;"",AQ$1,"")</f>
        <v/>
      </c>
      <c r="AR69" t="str">
        <f>IF(VLOOKUP($A69,Tabelle1!$A$4:$BU$73,45,0)&lt;&gt;"",AR$1,"")</f>
        <v/>
      </c>
      <c r="AS69" t="str">
        <f>IF(VLOOKUP($A69,Tabelle1!$A$4:$BU$73,46,0)&lt;&gt;"",AS$1,"")</f>
        <v/>
      </c>
      <c r="AT69" t="str">
        <f>IF(VLOOKUP($A69,Tabelle1!$A$4:$BU$73,47,0)&lt;&gt;"",AT$1,"")</f>
        <v/>
      </c>
      <c r="AU69" t="str">
        <f>IF(VLOOKUP($A69,Tabelle1!$A$4:$BU$73,48,0)&lt;&gt;"",AU$1,"")</f>
        <v/>
      </c>
      <c r="AV69" t="str">
        <f>IF(VLOOKUP($A69,Tabelle1!$A$4:$BU$73,49,0)&lt;&gt;"",AV$1,"")</f>
        <v/>
      </c>
      <c r="AW69" t="str">
        <f>IF(VLOOKUP($A69,Tabelle1!$A$4:$BU$73,50,0)&lt;&gt;"",AW$1,"")</f>
        <v/>
      </c>
      <c r="AX69" t="str">
        <f>IF(VLOOKUP($A69,Tabelle1!$A$4:$BU$73,51,0)&lt;&gt;"",AX$1,"")</f>
        <v/>
      </c>
      <c r="AY69" t="str">
        <f>IF(VLOOKUP($A69,Tabelle1!$A$4:$BU$73,52,0)&lt;&gt;"",AY$1,"")</f>
        <v/>
      </c>
      <c r="AZ69" t="str">
        <f>IF(VLOOKUP($A69,Tabelle1!$A$4:$BU$73,53,0)&lt;&gt;"",AZ$1,"")</f>
        <v/>
      </c>
      <c r="BA69" t="str">
        <f>IF(VLOOKUP($A69,Tabelle1!$A$4:$BU$73,54,0)&lt;&gt;"",BA$1,"")</f>
        <v/>
      </c>
      <c r="BB69" t="str">
        <f>IF(VLOOKUP($A69,Tabelle1!$A$4:$BU$73,55,0)&lt;&gt;"",BB$1,"")</f>
        <v/>
      </c>
      <c r="BC69" t="str">
        <f>IF(VLOOKUP($A69,Tabelle1!$A$4:$BU$73,56,0)&lt;&gt;"",BC$1,"")</f>
        <v/>
      </c>
      <c r="BD69" t="str">
        <f>IF(VLOOKUP($A69,Tabelle1!$A$4:$BU$73,57,0)&lt;&gt;"",BD$1,"")</f>
        <v/>
      </c>
      <c r="BE69" t="str">
        <f>IF(VLOOKUP($A69,Tabelle1!$A$4:$BU$73,58,0)&lt;&gt;"",BE$1,"")</f>
        <v/>
      </c>
      <c r="BF69" t="str">
        <f>IF(VLOOKUP($A69,Tabelle1!$A$4:$BU$73,59,0)&lt;&gt;"",BF$1,"")</f>
        <v/>
      </c>
      <c r="BG69" t="str">
        <f>IF(VLOOKUP($A69,Tabelle1!$A$4:$BU$73,60,0)&lt;&gt;"",BG$1,"")</f>
        <v/>
      </c>
      <c r="BH69" t="str">
        <f>IF(VLOOKUP($A69,Tabelle1!$A$4:$BU$73,61,0)&lt;&gt;"",BH$1,"")</f>
        <v/>
      </c>
      <c r="BI69" t="str">
        <f>IF(VLOOKUP($A69,Tabelle1!$A$4:$BU$73,62,0)&lt;&gt;"",BI$1,"")</f>
        <v/>
      </c>
      <c r="BJ69" t="str">
        <f>IF(VLOOKUP($A69,Tabelle1!$A$4:$BU$73,63,0)&lt;&gt;"",BJ$1,"")</f>
        <v/>
      </c>
      <c r="BK69" t="str">
        <f>IF(VLOOKUP($A69,Tabelle1!$A$4:$BU$73,64,0)&lt;&gt;"",BK$1,"")</f>
        <v/>
      </c>
      <c r="BL69" t="str">
        <f>IF(VLOOKUP($A69,Tabelle1!$A$4:$BU$73,65,0)&lt;&gt;"",BL$1,"")</f>
        <v/>
      </c>
      <c r="BM69" t="str">
        <f>IF(VLOOKUP($A69,Tabelle1!$A$4:$BU$73,66,0)&lt;&gt;"",BM$1,"")</f>
        <v/>
      </c>
      <c r="BN69" t="str">
        <f>IF(VLOOKUP($A69,Tabelle1!$A$4:$BU$73,67,0)&lt;&gt;"",BN$1,"")</f>
        <v/>
      </c>
      <c r="BO69" t="str">
        <f>IF(VLOOKUP($A69,Tabelle1!$A$4:$BU$73,68,0)&lt;&gt;"",BO$1,"")</f>
        <v/>
      </c>
      <c r="BP69" t="str">
        <f>IF(VLOOKUP($A69,Tabelle1!$A$4:$BU$73,69,0)&lt;&gt;"",BP$1,"")</f>
        <v/>
      </c>
      <c r="BQ69" t="str">
        <f>IF(VLOOKUP($A69,Tabelle1!$A$4:$BU$73,70,0)&lt;&gt;"",BQ$1,"")</f>
        <v/>
      </c>
      <c r="BR69" t="str">
        <f>IF(VLOOKUP($A69,Tabelle1!$A$4:$BU$73,71,0)&lt;&gt;"",BR$1,"")</f>
        <v/>
      </c>
      <c r="BS69" t="str">
        <f>IF(VLOOKUP($A69,Tabelle1!$A$4:$BU$73,72,0)&lt;&gt;"",BS$1,"")</f>
        <v/>
      </c>
      <c r="BT69" t="str">
        <f>IF(VLOOKUP($A69,Tabelle1!$A$4:$BU$73,73,0)&lt;&gt;"",BT$1,"")</f>
        <v/>
      </c>
    </row>
    <row r="70" spans="1:73" x14ac:dyDescent="0.2">
      <c r="A70" t="s">
        <v>502</v>
      </c>
      <c r="B70">
        <v>20</v>
      </c>
      <c r="C70">
        <v>4.25</v>
      </c>
      <c r="D70" t="str">
        <f>IF(VLOOKUP($A70,Tabelle1!$A$4:$BU$73,5,0)&lt;&gt;"",D$1,"")</f>
        <v/>
      </c>
      <c r="E70" t="str">
        <f>IF(VLOOKUP($A70,Tabelle1!$A$4:$BU$73,6,0)&lt;&gt;"",E$1,"")</f>
        <v/>
      </c>
      <c r="F70" t="str">
        <f>IF(VLOOKUP($A70,Tabelle1!$A$4:$BU$73,7,0)&lt;&gt;"",F$1,"")</f>
        <v/>
      </c>
      <c r="G70" t="str">
        <f>IF(VLOOKUP($A70,Tabelle1!$A$4:$BU$73,8,0)&lt;&gt;"",G$1,"")</f>
        <v/>
      </c>
      <c r="H70" t="str">
        <f>IF(VLOOKUP($A70,Tabelle1!$A$4:$BU$73,9,0)&lt;&gt;"",H$1,"")</f>
        <v/>
      </c>
      <c r="I70" t="str">
        <f>IF(VLOOKUP($A70,Tabelle1!$A$4:$BU$73,10,0)&lt;&gt;"",I$1,"")</f>
        <v xml:space="preserve">Buchweizen </v>
      </c>
      <c r="J70" t="str">
        <f>IF(VLOOKUP($A70,Tabelle1!$A$4:$BU$73,11,0)&lt;&gt;"",J$1,"")</f>
        <v/>
      </c>
      <c r="K70" t="str">
        <f>IF(VLOOKUP($A70,Tabelle1!$A$4:$BU$73,12,0)&lt;&gt;"",K$1,"")</f>
        <v/>
      </c>
      <c r="L70" t="str">
        <f>IF(VLOOKUP($A70,Tabelle1!$A$4:$BU$73,13,0)&lt;&gt;"",L$1,"")</f>
        <v/>
      </c>
      <c r="M70" t="str">
        <f>IF(VLOOKUP($A70,Tabelle1!$A$4:$BU$73,14,0)&lt;&gt;"",M$1,"")</f>
        <v/>
      </c>
      <c r="N70" t="str">
        <f>IF(VLOOKUP($A70,Tabelle1!$A$4:$BU$73,15,0)&lt;&gt;"",N$1,"")</f>
        <v/>
      </c>
      <c r="O70" t="str">
        <f>IF(VLOOKUP($A70,Tabelle1!$A$4:$BU$73,16,0)&lt;&gt;"",O$1,"")</f>
        <v/>
      </c>
      <c r="P70" t="str">
        <f>IF(VLOOKUP($A70,Tabelle1!$A$4:$BU$73,17,0)&lt;&gt;"",P$1,"")</f>
        <v/>
      </c>
      <c r="Q70" t="str">
        <f>IF(VLOOKUP($A70,Tabelle1!$A$4:$BU$73,18,0)&lt;&gt;"",Q$1,"")</f>
        <v/>
      </c>
      <c r="R70" t="str">
        <f>IF(VLOOKUP($A70,Tabelle1!$A$4:$BU$73,19,0)&lt;&gt;"",R$1,"")</f>
        <v/>
      </c>
      <c r="S70" t="str">
        <f>IF(VLOOKUP($A70,Tabelle1!$A$4:$BU$73,20,0)&lt;&gt;"",S$1,"")</f>
        <v/>
      </c>
      <c r="T70" t="str">
        <f>IF(VLOOKUP($A70,Tabelle1!$A$4:$BU$73,21,0)&lt;&gt;"",T$1,"")</f>
        <v/>
      </c>
      <c r="U70" t="str">
        <f>IF(VLOOKUP($A70,Tabelle1!$A$4:$BU$73,22,0)&lt;&gt;"",U$1,"")</f>
        <v/>
      </c>
      <c r="V70" t="str">
        <f>IF(VLOOKUP($A70,Tabelle1!$A$4:$BU$73,23,0)&lt;&gt;"",V$1,"")</f>
        <v>Kresse</v>
      </c>
      <c r="W70" t="str">
        <f>IF(VLOOKUP($A70,Tabelle1!$A$4:$BU$73,24,0)&lt;&gt;"",W$1,"")</f>
        <v/>
      </c>
      <c r="X70" t="str">
        <f>IF(VLOOKUP($A70,Tabelle1!$A$4:$BU$73,25,0)&lt;&gt;"",X$1,"")</f>
        <v/>
      </c>
      <c r="Y70" t="str">
        <f>IF(VLOOKUP($A70,Tabelle1!$A$4:$BU$73,26,0)&lt;&gt;"",Y$1,"")</f>
        <v/>
      </c>
      <c r="Z70" t="str">
        <f>IF(VLOOKUP($A70,Tabelle1!$A$4:$BU$73,27,0)&lt;&gt;"",Z$1,"")</f>
        <v>Linse</v>
      </c>
      <c r="AA70" t="str">
        <f>IF(VLOOKUP($A70,Tabelle1!$A$4:$BU$73,28,0)&lt;&gt;"",AA$1,"")</f>
        <v/>
      </c>
      <c r="AB70" t="str">
        <f>IF(VLOOKUP($A70,Tabelle1!$A$4:$BU$73,29,0)&lt;&gt;"",AB$1,"")</f>
        <v/>
      </c>
      <c r="AC70" t="str">
        <f>IF(VLOOKUP($A70,Tabelle1!$A$4:$BU$73,30,0)&lt;&gt;"",AC$1,"")</f>
        <v>Schwarzsamen/Ramtilkraut/Gingellikraut/Mungo</v>
      </c>
      <c r="AD70" t="str">
        <f>IF(VLOOKUP($A70,Tabelle1!$A$4:$BU$73,31,0)&lt;&gt;"",AD$1,"")</f>
        <v/>
      </c>
      <c r="AE70" t="str">
        <f>IF(VLOOKUP($A70,Tabelle1!$A$4:$BU$73,32,0)&lt;&gt;"",AE$1,"")</f>
        <v>Ölrettich</v>
      </c>
      <c r="AF70" t="str">
        <f>IF(VLOOKUP($A70,Tabelle1!$A$4:$BU$73,33,0)&lt;&gt;"",AF$1,"")</f>
        <v/>
      </c>
      <c r="AG70" t="str">
        <f>IF(VLOOKUP($A70,Tabelle1!$A$4:$BU$73,34,0)&lt;&gt;"",AG$1,"")</f>
        <v/>
      </c>
      <c r="AH70" t="str">
        <f>IF(VLOOKUP($A70,Tabelle1!$A$4:$BU$73,35,0)&lt;&gt;"",AH$1,"")</f>
        <v>Phazelie</v>
      </c>
      <c r="AI70" t="str">
        <f>IF(VLOOKUP($A70,Tabelle1!$A$4:$BU$73,36,0)&lt;&gt;"",AI$1,"")</f>
        <v/>
      </c>
      <c r="AJ70" t="str">
        <f>IF(VLOOKUP($A70,Tabelle1!$A$4:$BU$73,37,0)&lt;&gt;"",AJ$1,"")</f>
        <v/>
      </c>
      <c r="AK70" t="str">
        <f>IF(VLOOKUP($A70,Tabelle1!$A$4:$BU$73,38,0)&lt;&gt;"",AK$1,"")</f>
        <v/>
      </c>
      <c r="AL70" t="str">
        <f>IF(VLOOKUP($A70,Tabelle1!$A$4:$BU$73,39,0)&lt;&gt;"",AL$1,"")</f>
        <v/>
      </c>
      <c r="AM70" t="str">
        <f>IF(VLOOKUP($A70,Tabelle1!$A$4:$BU$73,40,0)&lt;&gt;"",AM$1,"")</f>
        <v>Saatwicke / Sommerwicke</v>
      </c>
      <c r="AN70" t="str">
        <f>IF(VLOOKUP($A70,Tabelle1!$A$4:$BU$73,41,0)&lt;&gt;"",AN$1,"")</f>
        <v/>
      </c>
      <c r="AO70" t="str">
        <f>IF(VLOOKUP($A70,Tabelle1!$A$4:$BU$73,42,0)&lt;&gt;"",AO$1,"")</f>
        <v/>
      </c>
      <c r="AP70" t="str">
        <f>IF(VLOOKUP($A70,Tabelle1!$A$4:$BU$73,43,0)&lt;&gt;"",AP$1,"")</f>
        <v/>
      </c>
      <c r="AQ70" t="str">
        <f>IF(VLOOKUP($A70,Tabelle1!$A$4:$BU$73,44,0)&lt;&gt;"",AQ$1,"")</f>
        <v/>
      </c>
      <c r="AR70" t="str">
        <f>IF(VLOOKUP($A70,Tabelle1!$A$4:$BU$73,45,0)&lt;&gt;"",AR$1,"")</f>
        <v/>
      </c>
      <c r="AS70" t="str">
        <f>IF(VLOOKUP($A70,Tabelle1!$A$4:$BU$73,46,0)&lt;&gt;"",AS$1,"")</f>
        <v/>
      </c>
      <c r="AT70" t="str">
        <f>IF(VLOOKUP($A70,Tabelle1!$A$4:$BU$73,47,0)&lt;&gt;"",AT$1,"")</f>
        <v/>
      </c>
      <c r="AU70" t="str">
        <f>IF(VLOOKUP($A70,Tabelle1!$A$4:$BU$73,48,0)&lt;&gt;"",AU$1,"")</f>
        <v/>
      </c>
      <c r="AV70" t="str">
        <f>IF(VLOOKUP($A70,Tabelle1!$A$4:$BU$73,49,0)&lt;&gt;"",AV$1,"")</f>
        <v/>
      </c>
      <c r="AW70" t="str">
        <f>IF(VLOOKUP($A70,Tabelle1!$A$4:$BU$73,50,0)&lt;&gt;"",AW$1,"")</f>
        <v/>
      </c>
      <c r="AX70" t="str">
        <f>IF(VLOOKUP($A70,Tabelle1!$A$4:$BU$73,51,0)&lt;&gt;"",AX$1,"")</f>
        <v/>
      </c>
      <c r="AY70" t="str">
        <f>IF(VLOOKUP($A70,Tabelle1!$A$4:$BU$73,52,0)&lt;&gt;"",AY$1,"")</f>
        <v/>
      </c>
      <c r="AZ70" t="str">
        <f>IF(VLOOKUP($A70,Tabelle1!$A$4:$BU$73,53,0)&lt;&gt;"",AZ$1,"")</f>
        <v/>
      </c>
      <c r="BA70" t="str">
        <f>IF(VLOOKUP($A70,Tabelle1!$A$4:$BU$73,54,0)&lt;&gt;"",BA$1,"")</f>
        <v/>
      </c>
      <c r="BB70" t="str">
        <f>IF(VLOOKUP($A70,Tabelle1!$A$4:$BU$73,55,0)&lt;&gt;"",BB$1,"")</f>
        <v/>
      </c>
      <c r="BC70" t="str">
        <f>IF(VLOOKUP($A70,Tabelle1!$A$4:$BU$73,56,0)&lt;&gt;"",BC$1,"")</f>
        <v/>
      </c>
      <c r="BD70" t="str">
        <f>IF(VLOOKUP($A70,Tabelle1!$A$4:$BU$73,57,0)&lt;&gt;"",BD$1,"")</f>
        <v/>
      </c>
      <c r="BE70" t="str">
        <f>IF(VLOOKUP($A70,Tabelle1!$A$4:$BU$73,58,0)&lt;&gt;"",BE$1,"")</f>
        <v/>
      </c>
      <c r="BF70" t="str">
        <f>IF(VLOOKUP($A70,Tabelle1!$A$4:$BU$73,59,0)&lt;&gt;"",BF$1,"")</f>
        <v/>
      </c>
      <c r="BG70" t="str">
        <f>IF(VLOOKUP($A70,Tabelle1!$A$4:$BU$73,60,0)&lt;&gt;"",BG$1,"")</f>
        <v/>
      </c>
      <c r="BH70" t="str">
        <f>IF(VLOOKUP($A70,Tabelle1!$A$4:$BU$73,61,0)&lt;&gt;"",BH$1,"")</f>
        <v/>
      </c>
      <c r="BI70" t="str">
        <f>IF(VLOOKUP($A70,Tabelle1!$A$4:$BU$73,62,0)&lt;&gt;"",BI$1,"")</f>
        <v/>
      </c>
      <c r="BJ70" t="str">
        <f>IF(VLOOKUP($A70,Tabelle1!$A$4:$BU$73,63,0)&lt;&gt;"",BJ$1,"")</f>
        <v/>
      </c>
      <c r="BK70" t="str">
        <f>IF(VLOOKUP($A70,Tabelle1!$A$4:$BU$73,64,0)&lt;&gt;"",BK$1,"")</f>
        <v/>
      </c>
      <c r="BL70" t="str">
        <f>IF(VLOOKUP($A70,Tabelle1!$A$4:$BU$73,65,0)&lt;&gt;"",BL$1,"")</f>
        <v/>
      </c>
      <c r="BM70" t="str">
        <f>IF(VLOOKUP($A70,Tabelle1!$A$4:$BU$73,66,0)&lt;&gt;"",BM$1,"")</f>
        <v/>
      </c>
      <c r="BN70" t="str">
        <f>IF(VLOOKUP($A70,Tabelle1!$A$4:$BU$73,67,0)&lt;&gt;"",BN$1,"")</f>
        <v/>
      </c>
      <c r="BO70" t="str">
        <f>IF(VLOOKUP($A70,Tabelle1!$A$4:$BU$73,68,0)&lt;&gt;"",BO$1,"")</f>
        <v/>
      </c>
      <c r="BP70" t="str">
        <f>IF(VLOOKUP($A70,Tabelle1!$A$4:$BU$73,69,0)&lt;&gt;"",BP$1,"")</f>
        <v/>
      </c>
      <c r="BQ70" t="str">
        <f>IF(VLOOKUP($A70,Tabelle1!$A$4:$BU$73,70,0)&lt;&gt;"",BQ$1,"")</f>
        <v/>
      </c>
      <c r="BR70" t="str">
        <f>IF(VLOOKUP($A70,Tabelle1!$A$4:$BU$73,71,0)&lt;&gt;"",BR$1,"")</f>
        <v/>
      </c>
      <c r="BS70" t="str">
        <f>IF(VLOOKUP($A70,Tabelle1!$A$4:$BU$73,72,0)&lt;&gt;"",BS$1,"")</f>
        <v/>
      </c>
      <c r="BT70" t="str">
        <f>IF(VLOOKUP($A70,Tabelle1!$A$4:$BU$73,73,0)&lt;&gt;"",BT$1,"")</f>
        <v/>
      </c>
    </row>
    <row r="71" spans="1:73" x14ac:dyDescent="0.2">
      <c r="A71" t="s">
        <v>963</v>
      </c>
      <c r="B71">
        <f>8+2+1+2+2+10</f>
        <v>25</v>
      </c>
      <c r="C71" t="s">
        <v>971</v>
      </c>
      <c r="D71" t="str">
        <f>IF(VLOOKUP($A71,Tabelle1!$A$4:$BU$83,5,0)&lt;&gt;"",D$1,"")</f>
        <v/>
      </c>
      <c r="E71" t="str">
        <f>IF(VLOOKUP($A71,Tabelle1!$A$4:$BU$83,6,0)&lt;&gt;"",E$1,"")</f>
        <v/>
      </c>
      <c r="F71" t="str">
        <f>IF(VLOOKUP($A71,Tabelle1!$A$4:$BU$83,7,0)&lt;&gt;"",F$1,"")</f>
        <v>Alexandrinerklee</v>
      </c>
      <c r="G71" t="str">
        <f>IF(VLOOKUP($A71,Tabelle1!$A$4:$BU$83,8,0)&lt;&gt;"",G$1,"")</f>
        <v/>
      </c>
      <c r="H71" t="str">
        <f>IF(VLOOKUP($A71,Tabelle1!$A$4:$BU$83,9,0)&lt;&gt;"",H$1,"")</f>
        <v/>
      </c>
      <c r="I71" t="str">
        <f>IF(VLOOKUP($A71,Tabelle1!$A$4:$BU$83,10,0)&lt;&gt;"",I$1,"")</f>
        <v/>
      </c>
      <c r="J71" t="str">
        <f>IF(VLOOKUP($A71,Tabelle1!$A$4:$BU$83,11,0)&lt;&gt;"",J$1,"")</f>
        <v/>
      </c>
      <c r="K71" t="str">
        <f>IF(VLOOKUP($A71,Tabelle1!$A$4:$BU$83,12,0)&lt;&gt;"",K$1,"")</f>
        <v/>
      </c>
      <c r="L71" t="str">
        <f>IF(VLOOKUP($A71,Tabelle1!$A$4:$BU$83,13,0)&lt;&gt;"",L$1,"")</f>
        <v/>
      </c>
      <c r="M71" t="str">
        <f>IF(VLOOKUP($A71,Tabelle1!$A$4:$BU$83,14,0)&lt;&gt;"",M$1,"")</f>
        <v/>
      </c>
      <c r="N71" t="str">
        <f>IF(VLOOKUP($A71,Tabelle1!$A$4:$BU$83,15,0)&lt;&gt;"",N$1,"")</f>
        <v/>
      </c>
      <c r="O71" t="str">
        <f>IF(VLOOKUP($A71,Tabelle1!$A$4:$BU$83,16,0)&lt;&gt;"",O$1,"")</f>
        <v/>
      </c>
      <c r="P71" t="str">
        <f>IF(VLOOKUP($A71,Tabelle1!$A$4:$BU$83,17,0)&lt;&gt;"",P$1,"")</f>
        <v/>
      </c>
      <c r="Q71" t="str">
        <f>IF(VLOOKUP($A71,Tabelle1!$A$4:$BU$83,18,0)&lt;&gt;"",Q$1,"")</f>
        <v/>
      </c>
      <c r="R71" t="str">
        <f>IF(VLOOKUP($A71,Tabelle1!$A$4:$BU$83,19,0)&lt;&gt;"",R$1,"")</f>
        <v/>
      </c>
      <c r="S71" t="str">
        <f>IF(VLOOKUP($A71,Tabelle1!$A$4:$BU$83,20,0)&lt;&gt;"",S$1,"")</f>
        <v/>
      </c>
      <c r="T71" t="str">
        <f>IF(VLOOKUP($A71,Tabelle1!$A$4:$BU$83,21,0)&lt;&gt;"",T$1,"")</f>
        <v/>
      </c>
      <c r="U71" t="str">
        <f>IF(VLOOKUP($A71,Tabelle1!$A$4:$BU$83,22,0)&lt;&gt;"",U$1,"")</f>
        <v/>
      </c>
      <c r="V71" t="str">
        <f>IF(VLOOKUP($A71,Tabelle1!$A$4:$BU$83,23,0)&lt;&gt;"",V$1,"")</f>
        <v>Kresse</v>
      </c>
      <c r="W71" t="str">
        <f>IF(VLOOKUP($A71,Tabelle1!$A$4:$BU$83,24,0)&lt;&gt;"",W$1,"")</f>
        <v/>
      </c>
      <c r="X71" t="str">
        <f>IF(VLOOKUP($A71,Tabelle1!$A$4:$BU$83,25,0)&lt;&gt;"",X$1,"")</f>
        <v/>
      </c>
      <c r="Y71" t="str">
        <f>IF(VLOOKUP($A71,Tabelle1!$A$4:$BU$83,26,0)&lt;&gt;"",Y$1,"")</f>
        <v/>
      </c>
      <c r="Z71" t="str">
        <f>IF(VLOOKUP($A71,Tabelle1!$A$4:$BU$83,27,0)&lt;&gt;"",Z$1,"")</f>
        <v/>
      </c>
      <c r="AA71" t="str">
        <f>IF(VLOOKUP($A71,Tabelle1!$A$4:$BU$83,28,0)&lt;&gt;"",AA$1,"")</f>
        <v/>
      </c>
      <c r="AB71" t="str">
        <f>IF(VLOOKUP($A71,Tabelle1!$A$4:$BU$83,29,0)&lt;&gt;"",AB$1,"")</f>
        <v>Meliorationsrettich</v>
      </c>
      <c r="AC71" t="str">
        <f>IF(VLOOKUP($A71,Tabelle1!$A$4:$BU$83,30,0)&lt;&gt;"",AC$1,"")</f>
        <v>Schwarzsamen/Ramtilkraut/Gingellikraut/Mungo</v>
      </c>
      <c r="AD71" t="str">
        <f>IF(VLOOKUP($A71,Tabelle1!$A$4:$BU$83,31,0)&lt;&gt;"",AD$1,"")</f>
        <v/>
      </c>
      <c r="AE71" t="str">
        <f>IF(VLOOKUP($A71,Tabelle1!$A$4:$BU$83,32,0)&lt;&gt;"",AE$1,"")</f>
        <v/>
      </c>
      <c r="AF71" t="str">
        <f>IF(VLOOKUP($A71,Tabelle1!$A$4:$BU$83,33,0)&lt;&gt;"",AF$1,"")</f>
        <v/>
      </c>
      <c r="AG71" t="str">
        <f>IF(VLOOKUP($A71,Tabelle1!$A$4:$BU$83,34,0)&lt;&gt;"",AG$1,"")</f>
        <v/>
      </c>
      <c r="AH71" t="str">
        <f>IF(VLOOKUP($A71,Tabelle1!$A$4:$BU$83,35,0)&lt;&gt;"",AH$1,"")</f>
        <v>Phazelie</v>
      </c>
      <c r="AI71" t="str">
        <f>IF(VLOOKUP($A71,Tabelle1!$A$4:$BU$83,36,0)&lt;&gt;"",AI$1,"")</f>
        <v/>
      </c>
      <c r="AJ71" t="str">
        <f>IF(VLOOKUP($A71,Tabelle1!$A$4:$BU$83,37,0)&lt;&gt;"",AJ$1,"")</f>
        <v/>
      </c>
      <c r="AK71" t="str">
        <f>IF(VLOOKUP($A71,Tabelle1!$A$4:$BU$83,38,0)&lt;&gt;"",AK$1,"")</f>
        <v/>
      </c>
      <c r="AL71" t="str">
        <f>IF(VLOOKUP($A71,Tabelle1!$A$4:$BU$83,39,0)&lt;&gt;"",AL$1,"")</f>
        <v/>
      </c>
      <c r="AM71" t="str">
        <f>IF(VLOOKUP($A71,Tabelle1!$A$4:$BU$83,40,0)&lt;&gt;"",AM$1,"")</f>
        <v>Saatwicke / Sommerwicke</v>
      </c>
      <c r="AN71" t="str">
        <f>IF(VLOOKUP($A71,Tabelle1!$A$4:$BU$83,41,0)&lt;&gt;"",AN$1,"")</f>
        <v/>
      </c>
      <c r="AO71" t="str">
        <f>IF(VLOOKUP($A71,Tabelle1!$A$4:$BU$83,42,0)&lt;&gt;"",AO$1,"")</f>
        <v/>
      </c>
      <c r="AP71" t="str">
        <f>IF(VLOOKUP($A71,Tabelle1!$A$4:$BU$83,43,0)&lt;&gt;"",AP$1,"")</f>
        <v/>
      </c>
      <c r="AQ71" t="str">
        <f>IF(VLOOKUP($A71,Tabelle1!$A$4:$BU$83,44,0)&lt;&gt;"",AQ$1,"")</f>
        <v/>
      </c>
      <c r="AR71" t="str">
        <f>IF(VLOOKUP($A71,Tabelle1!$A$4:$BU$83,45,0)&lt;&gt;"",AR$1,"")</f>
        <v>Senf</v>
      </c>
      <c r="AS71" t="str">
        <f>IF(VLOOKUP($A71,Tabelle1!$A$4:$BU$83,46,0)&lt;&gt;"",AS$1,"")</f>
        <v/>
      </c>
      <c r="AT71" t="str">
        <f>IF(VLOOKUP($A71,Tabelle1!$A$4:$BU$83,47,0)&lt;&gt;"",AT$1,"")</f>
        <v/>
      </c>
      <c r="AU71" t="str">
        <f>IF(VLOOKUP($A71,Tabelle1!$A$4:$BU$83,48,0)&lt;&gt;"",AU$1,"")</f>
        <v/>
      </c>
      <c r="AV71" t="str">
        <f>IF(VLOOKUP($A71,Tabelle1!$A$4:$BU$83,49,0)&lt;&gt;"",AV$1,"")</f>
        <v/>
      </c>
      <c r="AW71" t="str">
        <f>IF(VLOOKUP($A71,Tabelle1!$A$4:$BU$83,50,0)&lt;&gt;"",AW$1,"")</f>
        <v/>
      </c>
      <c r="AX71" t="str">
        <f>IF(VLOOKUP($A71,Tabelle1!$A$4:$BU$83,51,0)&lt;&gt;"",AX$1,"")</f>
        <v/>
      </c>
      <c r="AY71" t="str">
        <f>IF(VLOOKUP($A71,Tabelle1!$A$4:$BU$83,52,0)&lt;&gt;"",AY$1,"")</f>
        <v/>
      </c>
      <c r="AZ71" t="str">
        <f>IF(VLOOKUP($A71,Tabelle1!$A$4:$BU$83,53,0)&lt;&gt;"",AZ$1,"")</f>
        <v/>
      </c>
      <c r="BA71" t="str">
        <f>IF(VLOOKUP($A71,Tabelle1!$A$4:$BU$83,54,0)&lt;&gt;"",BA$1,"")</f>
        <v/>
      </c>
      <c r="BB71" t="str">
        <f>IF(VLOOKUP($A71,Tabelle1!$A$4:$BU$83,55,0)&lt;&gt;"",BB$1,"")</f>
        <v/>
      </c>
      <c r="BC71" t="str">
        <f>IF(VLOOKUP($A71,Tabelle1!$A$4:$BU$83,56,0)&lt;&gt;"",BC$1,"")</f>
        <v/>
      </c>
      <c r="BD71" t="str">
        <f>IF(VLOOKUP($A71,Tabelle1!$A$4:$BU$83,57,0)&lt;&gt;"",BD$1,"")</f>
        <v/>
      </c>
      <c r="BE71" t="str">
        <f>IF(VLOOKUP($A71,Tabelle1!$A$4:$BU$83,58,0)&lt;&gt;"",BE$1,"")</f>
        <v/>
      </c>
      <c r="BF71" t="str">
        <f>IF(VLOOKUP($A71,Tabelle1!$A$4:$BU$83,59,0)&lt;&gt;"",BF$1,"")</f>
        <v/>
      </c>
      <c r="BG71" t="str">
        <f>IF(VLOOKUP($A71,Tabelle1!$A$4:$BU$83,60,0)&lt;&gt;"",BG$1,"")</f>
        <v/>
      </c>
      <c r="BH71" t="str">
        <f>IF(VLOOKUP($A71,Tabelle1!$A$4:$BU$83,61,0)&lt;&gt;"",BH$1,"")</f>
        <v/>
      </c>
      <c r="BI71" t="str">
        <f>IF(VLOOKUP($A71,Tabelle1!$A$4:$BU$83,62,0)&lt;&gt;"",BI$1,"")</f>
        <v/>
      </c>
      <c r="BJ71" t="str">
        <f>IF(VLOOKUP($A71,Tabelle1!$A$4:$BU$83,63,0)&lt;&gt;"",BJ$1,"")</f>
        <v/>
      </c>
      <c r="BK71" t="str">
        <f>IF(VLOOKUP($A71,Tabelle1!$A$4:$BU$83,64,0)&lt;&gt;"",BK$1,"")</f>
        <v/>
      </c>
      <c r="BL71" t="str">
        <f>IF(VLOOKUP($A71,Tabelle1!$A$4:$BU$83,65,0)&lt;&gt;"",BL$1,"")</f>
        <v/>
      </c>
      <c r="BM71" t="str">
        <f>IF(VLOOKUP($A71,Tabelle1!$A$4:$BU$83,66,0)&lt;&gt;"",BM$1,"")</f>
        <v/>
      </c>
      <c r="BN71" t="str">
        <f>IF(VLOOKUP($A71,Tabelle1!$A$4:$BU$83,67,0)&lt;&gt;"",BN$1,"")</f>
        <v/>
      </c>
      <c r="BO71" t="str">
        <f>IF(VLOOKUP($A71,Tabelle1!$A$4:$BU$83,68,0)&lt;&gt;"",BO$1,"")</f>
        <v/>
      </c>
      <c r="BP71" t="str">
        <f>IF(VLOOKUP($A71,Tabelle1!$A$4:$BU$83,69,0)&lt;&gt;"",BP$1,"")</f>
        <v/>
      </c>
      <c r="BQ71" t="str">
        <f>IF(VLOOKUP($A71,Tabelle1!$A$4:$BU$83,70,0)&lt;&gt;"",BQ$1,"")</f>
        <v/>
      </c>
      <c r="BR71" t="str">
        <f>IF(VLOOKUP($A71,Tabelle1!$A$4:$BU$83,71,0)&lt;&gt;"",BR$1,"")</f>
        <v/>
      </c>
      <c r="BS71" t="str">
        <f>IF(VLOOKUP($A71,Tabelle1!$A$4:$BU$83,72,0)&lt;&gt;"",BS$1,"")</f>
        <v/>
      </c>
      <c r="BT71" t="str">
        <f>IF(VLOOKUP($A71,Tabelle1!$A$4:$BU$83,73,0)&lt;&gt;"",BT$1,"")</f>
        <v/>
      </c>
    </row>
    <row r="72" spans="1:73" x14ac:dyDescent="0.2">
      <c r="A72" t="s">
        <v>964</v>
      </c>
      <c r="B72">
        <v>20</v>
      </c>
      <c r="C72" t="s">
        <v>971</v>
      </c>
      <c r="D72" t="str">
        <f>IF(VLOOKUP($A72,Tabelle1!$A$4:$BU$83,5,0)&lt;&gt;"",D$1,"")</f>
        <v/>
      </c>
      <c r="E72" t="str">
        <f>IF(VLOOKUP($A72,Tabelle1!$A$4:$BU$83,6,0)&lt;&gt;"",E$1,"")</f>
        <v/>
      </c>
      <c r="F72" t="str">
        <f>IF(VLOOKUP($A72,Tabelle1!$A$4:$BU$83,7,0)&lt;&gt;"",F$1,"")</f>
        <v>Alexandrinerklee</v>
      </c>
      <c r="G72" t="str">
        <f>IF(VLOOKUP($A72,Tabelle1!$A$4:$BU$83,8,0)&lt;&gt;"",G$1,"")</f>
        <v/>
      </c>
      <c r="H72" t="str">
        <f>IF(VLOOKUP($A72,Tabelle1!$A$4:$BU$83,9,0)&lt;&gt;"",H$1,"")</f>
        <v/>
      </c>
      <c r="I72" t="str">
        <f>IF(VLOOKUP($A72,Tabelle1!$A$4:$BU$83,10,0)&lt;&gt;"",I$1,"")</f>
        <v/>
      </c>
      <c r="J72" t="str">
        <f>IF(VLOOKUP($A72,Tabelle1!$A$4:$BU$83,11,0)&lt;&gt;"",J$1,"")</f>
        <v/>
      </c>
      <c r="K72" t="str">
        <f>IF(VLOOKUP($A72,Tabelle1!$A$4:$BU$83,12,0)&lt;&gt;"",K$1,"")</f>
        <v/>
      </c>
      <c r="L72" t="str">
        <f>IF(VLOOKUP($A72,Tabelle1!$A$4:$BU$83,13,0)&lt;&gt;"",L$1,"")</f>
        <v/>
      </c>
      <c r="M72" t="str">
        <f>IF(VLOOKUP($A72,Tabelle1!$A$4:$BU$83,14,0)&lt;&gt;"",M$1,"")</f>
        <v/>
      </c>
      <c r="N72" t="str">
        <f>IF(VLOOKUP($A72,Tabelle1!$A$4:$BU$83,15,0)&lt;&gt;"",N$1,"")</f>
        <v/>
      </c>
      <c r="O72" t="str">
        <f>IF(VLOOKUP($A72,Tabelle1!$A$4:$BU$83,16,0)&lt;&gt;"",O$1,"")</f>
        <v/>
      </c>
      <c r="P72" t="str">
        <f>IF(VLOOKUP($A72,Tabelle1!$A$4:$BU$83,17,0)&lt;&gt;"",P$1,"")</f>
        <v/>
      </c>
      <c r="Q72" t="str">
        <f>IF(VLOOKUP($A72,Tabelle1!$A$4:$BU$83,18,0)&lt;&gt;"",Q$1,"")</f>
        <v/>
      </c>
      <c r="R72" t="str">
        <f>IF(VLOOKUP($A72,Tabelle1!$A$4:$BU$83,19,0)&lt;&gt;"",R$1,"")</f>
        <v/>
      </c>
      <c r="S72" t="str">
        <f>IF(VLOOKUP($A72,Tabelle1!$A$4:$BU$83,20,0)&lt;&gt;"",S$1,"")</f>
        <v/>
      </c>
      <c r="T72" t="str">
        <f>IF(VLOOKUP($A72,Tabelle1!$A$4:$BU$83,21,0)&lt;&gt;"",T$1,"")</f>
        <v>Inkarnatklee</v>
      </c>
      <c r="U72" t="str">
        <f>IF(VLOOKUP($A72,Tabelle1!$A$4:$BU$83,22,0)&lt;&gt;"",U$1,"")</f>
        <v/>
      </c>
      <c r="V72" t="str">
        <f>IF(VLOOKUP($A72,Tabelle1!$A$4:$BU$83,23,0)&lt;&gt;"",V$1,"")</f>
        <v>Kresse</v>
      </c>
      <c r="W72" t="str">
        <f>IF(VLOOKUP($A72,Tabelle1!$A$4:$BU$83,24,0)&lt;&gt;"",W$1,"")</f>
        <v/>
      </c>
      <c r="X72" t="str">
        <f>IF(VLOOKUP($A72,Tabelle1!$A$4:$BU$83,25,0)&lt;&gt;"",X$1,"")</f>
        <v/>
      </c>
      <c r="Y72" t="str">
        <f>IF(VLOOKUP($A72,Tabelle1!$A$4:$BU$83,26,0)&lt;&gt;"",Y$1,"")</f>
        <v/>
      </c>
      <c r="Z72" t="str">
        <f>IF(VLOOKUP($A72,Tabelle1!$A$4:$BU$83,27,0)&lt;&gt;"",Z$1,"")</f>
        <v/>
      </c>
      <c r="AA72" t="str">
        <f>IF(VLOOKUP($A72,Tabelle1!$A$4:$BU$83,28,0)&lt;&gt;"",AA$1,"")</f>
        <v/>
      </c>
      <c r="AB72" t="str">
        <f>IF(VLOOKUP($A72,Tabelle1!$A$4:$BU$83,29,0)&lt;&gt;"",AB$1,"")</f>
        <v/>
      </c>
      <c r="AC72" t="str">
        <f>IF(VLOOKUP($A72,Tabelle1!$A$4:$BU$83,30,0)&lt;&gt;"",AC$1,"")</f>
        <v/>
      </c>
      <c r="AD72" t="str">
        <f>IF(VLOOKUP($A72,Tabelle1!$A$4:$BU$83,31,0)&lt;&gt;"",AD$1,"")</f>
        <v/>
      </c>
      <c r="AE72" t="str">
        <f>IF(VLOOKUP($A72,Tabelle1!$A$4:$BU$83,32,0)&lt;&gt;"",AE$1,"")</f>
        <v/>
      </c>
      <c r="AF72" t="str">
        <f>IF(VLOOKUP($A72,Tabelle1!$A$4:$BU$83,33,0)&lt;&gt;"",AF$1,"")</f>
        <v/>
      </c>
      <c r="AG72" t="str">
        <f>IF(VLOOKUP($A72,Tabelle1!$A$4:$BU$83,34,0)&lt;&gt;"",AG$1,"")</f>
        <v/>
      </c>
      <c r="AH72" t="str">
        <f>IF(VLOOKUP($A72,Tabelle1!$A$4:$BU$83,35,0)&lt;&gt;"",AH$1,"")</f>
        <v/>
      </c>
      <c r="AI72" t="str">
        <f>IF(VLOOKUP($A72,Tabelle1!$A$4:$BU$83,36,0)&lt;&gt;"",AI$1,"")</f>
        <v/>
      </c>
      <c r="AJ72" t="str">
        <f>IF(VLOOKUP($A72,Tabelle1!$A$4:$BU$83,37,0)&lt;&gt;"",AJ$1,"")</f>
        <v/>
      </c>
      <c r="AK72" t="str">
        <f>IF(VLOOKUP($A72,Tabelle1!$A$4:$BU$83,38,0)&lt;&gt;"",AK$1,"")</f>
        <v/>
      </c>
      <c r="AL72" t="str">
        <f>IF(VLOOKUP($A72,Tabelle1!$A$4:$BU$83,39,0)&lt;&gt;"",AL$1,"")</f>
        <v/>
      </c>
      <c r="AM72" t="str">
        <f>IF(VLOOKUP($A72,Tabelle1!$A$4:$BU$83,40,0)&lt;&gt;"",AM$1,"")</f>
        <v/>
      </c>
      <c r="AN72" t="str">
        <f>IF(VLOOKUP($A72,Tabelle1!$A$4:$BU$83,41,0)&lt;&gt;"",AN$1,"")</f>
        <v/>
      </c>
      <c r="AO72" t="str">
        <f>IF(VLOOKUP($A72,Tabelle1!$A$4:$BU$83,42,0)&lt;&gt;"",AO$1,"")</f>
        <v/>
      </c>
      <c r="AP72" t="str">
        <f>IF(VLOOKUP($A72,Tabelle1!$A$4:$BU$83,43,0)&lt;&gt;"",AP$1,"")</f>
        <v/>
      </c>
      <c r="AQ72" t="str">
        <f>IF(VLOOKUP($A72,Tabelle1!$A$4:$BU$83,44,0)&lt;&gt;"",AQ$1,"")</f>
        <v/>
      </c>
      <c r="AR72" t="str">
        <f>IF(VLOOKUP($A72,Tabelle1!$A$4:$BU$83,45,0)&lt;&gt;"",AR$1,"")</f>
        <v/>
      </c>
      <c r="AS72" t="str">
        <f>IF(VLOOKUP($A72,Tabelle1!$A$4:$BU$83,46,0)&lt;&gt;"",AS$1,"")</f>
        <v/>
      </c>
      <c r="AT72" t="str">
        <f>IF(VLOOKUP($A72,Tabelle1!$A$4:$BU$83,47,0)&lt;&gt;"",AT$1,"")</f>
        <v/>
      </c>
      <c r="AU72" t="str">
        <f>IF(VLOOKUP($A72,Tabelle1!$A$4:$BU$83,48,0)&lt;&gt;"",AU$1,"")</f>
        <v/>
      </c>
      <c r="AV72" t="str">
        <f>IF(VLOOKUP($A72,Tabelle1!$A$4:$BU$83,49,0)&lt;&gt;"",AV$1,"")</f>
        <v/>
      </c>
      <c r="AW72" t="str">
        <f>IF(VLOOKUP($A72,Tabelle1!$A$4:$BU$83,50,0)&lt;&gt;"",AW$1,"")</f>
        <v/>
      </c>
      <c r="AX72" t="str">
        <f>IF(VLOOKUP($A72,Tabelle1!$A$4:$BU$83,51,0)&lt;&gt;"",AX$1,"")</f>
        <v/>
      </c>
      <c r="AY72" t="str">
        <f>IF(VLOOKUP($A72,Tabelle1!$A$4:$BU$83,52,0)&lt;&gt;"",AY$1,"")</f>
        <v/>
      </c>
      <c r="AZ72" t="str">
        <f>IF(VLOOKUP($A72,Tabelle1!$A$4:$BU$83,53,0)&lt;&gt;"",AZ$1,"")</f>
        <v/>
      </c>
      <c r="BA72" t="str">
        <f>IF(VLOOKUP($A72,Tabelle1!$A$4:$BU$83,54,0)&lt;&gt;"",BA$1,"")</f>
        <v/>
      </c>
      <c r="BB72" t="str">
        <f>IF(VLOOKUP($A72,Tabelle1!$A$4:$BU$83,55,0)&lt;&gt;"",BB$1,"")</f>
        <v/>
      </c>
      <c r="BC72" t="str">
        <f>IF(VLOOKUP($A72,Tabelle1!$A$4:$BU$83,56,0)&lt;&gt;"",BC$1,"")</f>
        <v>Winterrübsen</v>
      </c>
      <c r="BD72" t="str">
        <f>IF(VLOOKUP($A72,Tabelle1!$A$4:$BU$83,57,0)&lt;&gt;"",BD$1,"")</f>
        <v/>
      </c>
      <c r="BE72" t="str">
        <f>IF(VLOOKUP($A72,Tabelle1!$A$4:$BU$83,58,0)&lt;&gt;"",BE$1,"")</f>
        <v/>
      </c>
      <c r="BF72" t="str">
        <f>IF(VLOOKUP($A72,Tabelle1!$A$4:$BU$83,59,0)&lt;&gt;"",BF$1,"")</f>
        <v/>
      </c>
      <c r="BG72" t="str">
        <f>IF(VLOOKUP($A72,Tabelle1!$A$4:$BU$83,60,0)&lt;&gt;"",BG$1,"")</f>
        <v/>
      </c>
      <c r="BH72" t="str">
        <f>IF(VLOOKUP($A72,Tabelle1!$A$4:$BU$83,61,0)&lt;&gt;"",BH$1,"")</f>
        <v/>
      </c>
      <c r="BI72" t="str">
        <f>IF(VLOOKUP($A72,Tabelle1!$A$4:$BU$83,62,0)&lt;&gt;"",BI$1,"")</f>
        <v/>
      </c>
      <c r="BJ72" t="str">
        <f>IF(VLOOKUP($A72,Tabelle1!$A$4:$BU$83,63,0)&lt;&gt;"",BJ$1,"")</f>
        <v/>
      </c>
      <c r="BK72" t="str">
        <f>IF(VLOOKUP($A72,Tabelle1!$A$4:$BU$83,64,0)&lt;&gt;"",BK$1,"")</f>
        <v/>
      </c>
      <c r="BL72" t="str">
        <f>IF(VLOOKUP($A72,Tabelle1!$A$4:$BU$83,65,0)&lt;&gt;"",BL$1,"")</f>
        <v/>
      </c>
      <c r="BM72" t="str">
        <f>IF(VLOOKUP($A72,Tabelle1!$A$4:$BU$83,66,0)&lt;&gt;"",BM$1,"")</f>
        <v/>
      </c>
      <c r="BN72" t="str">
        <f>IF(VLOOKUP($A72,Tabelle1!$A$4:$BU$83,67,0)&lt;&gt;"",BN$1,"")</f>
        <v/>
      </c>
      <c r="BO72" t="str">
        <f>IF(VLOOKUP($A72,Tabelle1!$A$4:$BU$83,68,0)&lt;&gt;"",BO$1,"")</f>
        <v/>
      </c>
      <c r="BP72" t="str">
        <f>IF(VLOOKUP($A72,Tabelle1!$A$4:$BU$83,69,0)&lt;&gt;"",BP$1,"")</f>
        <v/>
      </c>
      <c r="BQ72" t="str">
        <f>IF(VLOOKUP($A72,Tabelle1!$A$4:$BU$83,70,0)&lt;&gt;"",BQ$1,"")</f>
        <v/>
      </c>
      <c r="BR72" t="str">
        <f>IF(VLOOKUP($A72,Tabelle1!$A$4:$BU$83,71,0)&lt;&gt;"",BR$1,"")</f>
        <v/>
      </c>
      <c r="BS72" t="str">
        <f>IF(VLOOKUP($A72,Tabelle1!$A$4:$BU$83,72,0)&lt;&gt;"",BS$1,"")</f>
        <v/>
      </c>
      <c r="BT72" t="str">
        <f>IF(VLOOKUP($A72,Tabelle1!$A$4:$BU$83,73,0)&lt;&gt;"",BT$1,"")</f>
        <v/>
      </c>
    </row>
    <row r="73" spans="1:73" x14ac:dyDescent="0.2">
      <c r="A73" t="s">
        <v>965</v>
      </c>
      <c r="B73">
        <v>27</v>
      </c>
      <c r="C73" t="s">
        <v>971</v>
      </c>
      <c r="D73" t="str">
        <f>IF(VLOOKUP($A73,Tabelle1!$A$4:$BU$83,5,0)&lt;&gt;"",D$1,"")</f>
        <v/>
      </c>
      <c r="E73" t="str">
        <f>IF(VLOOKUP($A73,Tabelle1!$A$4:$BU$83,6,0)&lt;&gt;"",E$1,"")</f>
        <v/>
      </c>
      <c r="F73" t="str">
        <f>IF(VLOOKUP($A73,Tabelle1!$A$4:$BU$83,7,0)&lt;&gt;"",F$1,"")</f>
        <v>Alexandrinerklee</v>
      </c>
      <c r="G73" t="str">
        <f>IF(VLOOKUP($A73,Tabelle1!$A$4:$BU$83,8,0)&lt;&gt;"",G$1,"")</f>
        <v/>
      </c>
      <c r="H73" t="str">
        <f>IF(VLOOKUP($A73,Tabelle1!$A$4:$BU$83,9,0)&lt;&gt;"",H$1,"")</f>
        <v/>
      </c>
      <c r="I73" t="str">
        <f>IF(VLOOKUP($A73,Tabelle1!$A$4:$BU$83,10,0)&lt;&gt;"",I$1,"")</f>
        <v xml:space="preserve">Buchweizen </v>
      </c>
      <c r="J73" t="str">
        <f>IF(VLOOKUP($A73,Tabelle1!$A$4:$BU$83,11,0)&lt;&gt;"",J$1,"")</f>
        <v/>
      </c>
      <c r="K73" t="str">
        <f>IF(VLOOKUP($A73,Tabelle1!$A$4:$BU$83,12,0)&lt;&gt;"",K$1,"")</f>
        <v/>
      </c>
      <c r="L73" t="str">
        <f>IF(VLOOKUP($A73,Tabelle1!$A$4:$BU$83,13,0)&lt;&gt;"",L$1,"")</f>
        <v/>
      </c>
      <c r="M73" t="str">
        <f>IF(VLOOKUP($A73,Tabelle1!$A$4:$BU$83,14,0)&lt;&gt;"",M$1,"")</f>
        <v/>
      </c>
      <c r="N73" t="str">
        <f>IF(VLOOKUP($A73,Tabelle1!$A$4:$BU$83,15,0)&lt;&gt;"",N$1,"")</f>
        <v/>
      </c>
      <c r="O73" t="str">
        <f>IF(VLOOKUP($A73,Tabelle1!$A$4:$BU$83,16,0)&lt;&gt;"",O$1,"")</f>
        <v/>
      </c>
      <c r="P73" t="str">
        <f>IF(VLOOKUP($A73,Tabelle1!$A$4:$BU$83,17,0)&lt;&gt;"",P$1,"")</f>
        <v/>
      </c>
      <c r="Q73" t="str">
        <f>IF(VLOOKUP($A73,Tabelle1!$A$4:$BU$83,18,0)&lt;&gt;"",Q$1,"")</f>
        <v/>
      </c>
      <c r="R73" t="str">
        <f>IF(VLOOKUP($A73,Tabelle1!$A$4:$BU$83,19,0)&lt;&gt;"",R$1,"")</f>
        <v/>
      </c>
      <c r="S73" t="str">
        <f>IF(VLOOKUP($A73,Tabelle1!$A$4:$BU$83,20,0)&lt;&gt;"",S$1,"")</f>
        <v/>
      </c>
      <c r="T73" t="str">
        <f>IF(VLOOKUP($A73,Tabelle1!$A$4:$BU$83,21,0)&lt;&gt;"",T$1,"")</f>
        <v/>
      </c>
      <c r="U73" t="str">
        <f>IF(VLOOKUP($A73,Tabelle1!$A$4:$BU$83,22,0)&lt;&gt;"",U$1,"")</f>
        <v/>
      </c>
      <c r="V73" t="str">
        <f>IF(VLOOKUP($A73,Tabelle1!$A$4:$BU$83,23,0)&lt;&gt;"",V$1,"")</f>
        <v/>
      </c>
      <c r="W73" t="str">
        <f>IF(VLOOKUP($A73,Tabelle1!$A$4:$BU$83,24,0)&lt;&gt;"",W$1,"")</f>
        <v/>
      </c>
      <c r="X73" t="str">
        <f>IF(VLOOKUP($A73,Tabelle1!$A$4:$BU$83,25,0)&lt;&gt;"",X$1,"")</f>
        <v/>
      </c>
      <c r="Y73" t="str">
        <f>IF(VLOOKUP($A73,Tabelle1!$A$4:$BU$83,26,0)&lt;&gt;"",Y$1,"")</f>
        <v/>
      </c>
      <c r="Z73" t="str">
        <f>IF(VLOOKUP($A73,Tabelle1!$A$4:$BU$83,27,0)&lt;&gt;"",Z$1,"")</f>
        <v/>
      </c>
      <c r="AA73" t="str">
        <f>IF(VLOOKUP($A73,Tabelle1!$A$4:$BU$83,28,0)&lt;&gt;"",AA$1,"")</f>
        <v/>
      </c>
      <c r="AB73" t="str">
        <f>IF(VLOOKUP($A73,Tabelle1!$A$4:$BU$83,29,0)&lt;&gt;"",AB$1,"")</f>
        <v/>
      </c>
      <c r="AC73" t="str">
        <f>IF(VLOOKUP($A73,Tabelle1!$A$4:$BU$83,30,0)&lt;&gt;"",AC$1,"")</f>
        <v>Schwarzsamen/Ramtilkraut/Gingellikraut/Mungo</v>
      </c>
      <c r="AD73" t="str">
        <f>IF(VLOOKUP($A73,Tabelle1!$A$4:$BU$83,31,0)&lt;&gt;"",AD$1,"")</f>
        <v/>
      </c>
      <c r="AE73" t="str">
        <f>IF(VLOOKUP($A73,Tabelle1!$A$4:$BU$83,32,0)&lt;&gt;"",AE$1,"")</f>
        <v/>
      </c>
      <c r="AF73" t="str">
        <f>IF(VLOOKUP($A73,Tabelle1!$A$4:$BU$83,33,0)&lt;&gt;"",AF$1,"")</f>
        <v/>
      </c>
      <c r="AG73" t="str">
        <f>IF(VLOOKUP($A73,Tabelle1!$A$4:$BU$83,34,0)&lt;&gt;"",AG$1,"")</f>
        <v/>
      </c>
      <c r="AH73" t="str">
        <f>IF(VLOOKUP($A73,Tabelle1!$A$4:$BU$83,35,0)&lt;&gt;"",AH$1,"")</f>
        <v>Phazelie</v>
      </c>
      <c r="AI73" t="str">
        <f>IF(VLOOKUP($A73,Tabelle1!$A$4:$BU$83,36,0)&lt;&gt;"",AI$1,"")</f>
        <v/>
      </c>
      <c r="AJ73" t="str">
        <f>IF(VLOOKUP($A73,Tabelle1!$A$4:$BU$83,37,0)&lt;&gt;"",AJ$1,"")</f>
        <v/>
      </c>
      <c r="AK73" t="str">
        <f>IF(VLOOKUP($A73,Tabelle1!$A$4:$BU$83,38,0)&lt;&gt;"",AK$1,"")</f>
        <v/>
      </c>
      <c r="AL73" t="str">
        <f>IF(VLOOKUP($A73,Tabelle1!$A$4:$BU$83,39,0)&lt;&gt;"",AL$1,"")</f>
        <v/>
      </c>
      <c r="AM73" t="str">
        <f>IF(VLOOKUP($A73,Tabelle1!$A$4:$BU$83,40,0)&lt;&gt;"",AM$1,"")</f>
        <v>Saatwicke / Sommerwicke</v>
      </c>
      <c r="AN73" t="str">
        <f>IF(VLOOKUP($A73,Tabelle1!$A$4:$BU$83,41,0)&lt;&gt;"",AN$1,"")</f>
        <v/>
      </c>
      <c r="AO73" t="str">
        <f>IF(VLOOKUP($A73,Tabelle1!$A$4:$BU$83,42,0)&lt;&gt;"",AO$1,"")</f>
        <v/>
      </c>
      <c r="AP73" t="str">
        <f>IF(VLOOKUP($A73,Tabelle1!$A$4:$BU$83,43,0)&lt;&gt;"",AP$1,"")</f>
        <v/>
      </c>
      <c r="AQ73" t="str">
        <f>IF(VLOOKUP($A73,Tabelle1!$A$4:$BU$83,44,0)&lt;&gt;"",AQ$1,"")</f>
        <v/>
      </c>
      <c r="AR73" t="str">
        <f>IF(VLOOKUP($A73,Tabelle1!$A$4:$BU$83,45,0)&lt;&gt;"",AR$1,"")</f>
        <v/>
      </c>
      <c r="AS73" t="str">
        <f>IF(VLOOKUP($A73,Tabelle1!$A$4:$BU$83,46,0)&lt;&gt;"",AS$1,"")</f>
        <v/>
      </c>
      <c r="AT73" t="str">
        <f>IF(VLOOKUP($A73,Tabelle1!$A$4:$BU$83,47,0)&lt;&gt;"",AT$1,"")</f>
        <v/>
      </c>
      <c r="AU73" t="str">
        <f>IF(VLOOKUP($A73,Tabelle1!$A$4:$BU$83,48,0)&lt;&gt;"",AU$1,"")</f>
        <v/>
      </c>
      <c r="AV73" t="str">
        <f>IF(VLOOKUP($A73,Tabelle1!$A$4:$BU$83,49,0)&lt;&gt;"",AV$1,"")</f>
        <v/>
      </c>
      <c r="AW73" t="str">
        <f>IF(VLOOKUP($A73,Tabelle1!$A$4:$BU$83,50,0)&lt;&gt;"",AW$1,"")</f>
        <v/>
      </c>
      <c r="AX73" t="str">
        <f>IF(VLOOKUP($A73,Tabelle1!$A$4:$BU$83,51,0)&lt;&gt;"",AX$1,"")</f>
        <v/>
      </c>
      <c r="AY73" t="str">
        <f>IF(VLOOKUP($A73,Tabelle1!$A$4:$BU$83,52,0)&lt;&gt;"",AY$1,"")</f>
        <v/>
      </c>
      <c r="AZ73" t="str">
        <f>IF(VLOOKUP($A73,Tabelle1!$A$4:$BU$83,53,0)&lt;&gt;"",AZ$1,"")</f>
        <v/>
      </c>
      <c r="BA73" t="str">
        <f>IF(VLOOKUP($A73,Tabelle1!$A$4:$BU$83,54,0)&lt;&gt;"",BA$1,"")</f>
        <v/>
      </c>
      <c r="BB73" t="str">
        <f>IF(VLOOKUP($A73,Tabelle1!$A$4:$BU$83,55,0)&lt;&gt;"",BB$1,"")</f>
        <v/>
      </c>
      <c r="BC73" t="str">
        <f>IF(VLOOKUP($A73,Tabelle1!$A$4:$BU$83,56,0)&lt;&gt;"",BC$1,"")</f>
        <v/>
      </c>
      <c r="BD73" t="str">
        <f>IF(VLOOKUP($A73,Tabelle1!$A$4:$BU$83,57,0)&lt;&gt;"",BD$1,"")</f>
        <v/>
      </c>
      <c r="BE73" t="str">
        <f>IF(VLOOKUP($A73,Tabelle1!$A$4:$BU$83,58,0)&lt;&gt;"",BE$1,"")</f>
        <v/>
      </c>
      <c r="BF73" t="str">
        <f>IF(VLOOKUP($A73,Tabelle1!$A$4:$BU$83,59,0)&lt;&gt;"",BF$1,"")</f>
        <v/>
      </c>
      <c r="BG73" t="str">
        <f>IF(VLOOKUP($A73,Tabelle1!$A$4:$BU$83,60,0)&lt;&gt;"",BG$1,"")</f>
        <v/>
      </c>
      <c r="BH73" t="str">
        <f>IF(VLOOKUP($A73,Tabelle1!$A$4:$BU$83,61,0)&lt;&gt;"",BH$1,"")</f>
        <v/>
      </c>
      <c r="BI73" t="str">
        <f>IF(VLOOKUP($A73,Tabelle1!$A$4:$BU$83,62,0)&lt;&gt;"",BI$1,"")</f>
        <v/>
      </c>
      <c r="BJ73" t="str">
        <f>IF(VLOOKUP($A73,Tabelle1!$A$4:$BU$83,63,0)&lt;&gt;"",BJ$1,"")</f>
        <v/>
      </c>
      <c r="BK73" t="str">
        <f>IF(VLOOKUP($A73,Tabelle1!$A$4:$BU$83,64,0)&lt;&gt;"",BK$1,"")</f>
        <v/>
      </c>
      <c r="BL73" t="str">
        <f>IF(VLOOKUP($A73,Tabelle1!$A$4:$BU$83,65,0)&lt;&gt;"",BL$1,"")</f>
        <v/>
      </c>
      <c r="BM73" t="str">
        <f>IF(VLOOKUP($A73,Tabelle1!$A$4:$BU$83,66,0)&lt;&gt;"",BM$1,"")</f>
        <v/>
      </c>
      <c r="BN73" t="str">
        <f>IF(VLOOKUP($A73,Tabelle1!$A$4:$BU$83,67,0)&lt;&gt;"",BN$1,"")</f>
        <v/>
      </c>
      <c r="BO73" t="str">
        <f>IF(VLOOKUP($A73,Tabelle1!$A$4:$BU$83,68,0)&lt;&gt;"",BO$1,"")</f>
        <v/>
      </c>
      <c r="BP73" t="str">
        <f>IF(VLOOKUP($A73,Tabelle1!$A$4:$BU$83,69,0)&lt;&gt;"",BP$1,"")</f>
        <v/>
      </c>
      <c r="BQ73" t="str">
        <f>IF(VLOOKUP($A73,Tabelle1!$A$4:$BU$83,70,0)&lt;&gt;"",BQ$1,"")</f>
        <v/>
      </c>
      <c r="BR73" t="str">
        <f>IF(VLOOKUP($A73,Tabelle1!$A$4:$BU$83,71,0)&lt;&gt;"",BR$1,"")</f>
        <v/>
      </c>
      <c r="BS73" t="str">
        <f>IF(VLOOKUP($A73,Tabelle1!$A$4:$BU$83,72,0)&lt;&gt;"",BS$1,"")</f>
        <v/>
      </c>
      <c r="BT73" t="str">
        <f>IF(VLOOKUP($A73,Tabelle1!$A$4:$BU$83,73,0)&lt;&gt;"",BT$1,"")</f>
        <v/>
      </c>
    </row>
    <row r="74" spans="1:73" x14ac:dyDescent="0.2">
      <c r="A74" t="s">
        <v>966</v>
      </c>
      <c r="B74">
        <v>30</v>
      </c>
      <c r="C74" t="s">
        <v>971</v>
      </c>
      <c r="D74" t="str">
        <f>IF(VLOOKUP($A74,Tabelle1!$A$4:$BU$83,5,0)&lt;&gt;"",D$1,"")</f>
        <v/>
      </c>
      <c r="E74" t="str">
        <f>IF(VLOOKUP($A74,Tabelle1!$A$4:$BU$83,6,0)&lt;&gt;"",E$1,"")</f>
        <v/>
      </c>
      <c r="F74" t="str">
        <f>IF(VLOOKUP($A74,Tabelle1!$A$4:$BU$83,7,0)&lt;&gt;"",F$1,"")</f>
        <v>Alexandrinerklee</v>
      </c>
      <c r="G74" t="str">
        <f>IF(VLOOKUP($A74,Tabelle1!$A$4:$BU$83,8,0)&lt;&gt;"",G$1,"")</f>
        <v/>
      </c>
      <c r="H74" t="str">
        <f>IF(VLOOKUP($A74,Tabelle1!$A$4:$BU$83,9,0)&lt;&gt;"",H$1,"")</f>
        <v/>
      </c>
      <c r="I74" t="str">
        <f>IF(VLOOKUP($A74,Tabelle1!$A$4:$BU$83,10,0)&lt;&gt;"",I$1,"")</f>
        <v xml:space="preserve">Buchweizen </v>
      </c>
      <c r="J74" t="str">
        <f>IF(VLOOKUP($A74,Tabelle1!$A$4:$BU$83,11,0)&lt;&gt;"",J$1,"")</f>
        <v/>
      </c>
      <c r="K74" t="str">
        <f>IF(VLOOKUP($A74,Tabelle1!$A$4:$BU$83,12,0)&lt;&gt;"",K$1,"")</f>
        <v/>
      </c>
      <c r="L74" t="str">
        <f>IF(VLOOKUP($A74,Tabelle1!$A$4:$BU$83,13,0)&lt;&gt;"",L$1,"")</f>
        <v/>
      </c>
      <c r="M74" t="str">
        <f>IF(VLOOKUP($A74,Tabelle1!$A$4:$BU$83,14,0)&lt;&gt;"",M$1,"")</f>
        <v/>
      </c>
      <c r="N74" t="str">
        <f>IF(VLOOKUP($A74,Tabelle1!$A$4:$BU$83,15,0)&lt;&gt;"",N$1,"")</f>
        <v/>
      </c>
      <c r="O74" t="str">
        <f>IF(VLOOKUP($A74,Tabelle1!$A$4:$BU$83,16,0)&lt;&gt;"",O$1,"")</f>
        <v/>
      </c>
      <c r="P74" t="str">
        <f>IF(VLOOKUP($A74,Tabelle1!$A$4:$BU$83,17,0)&lt;&gt;"",P$1,"")</f>
        <v/>
      </c>
      <c r="Q74" t="str">
        <f>IF(VLOOKUP($A74,Tabelle1!$A$4:$BU$83,18,0)&lt;&gt;"",Q$1,"")</f>
        <v/>
      </c>
      <c r="R74" t="str">
        <f>IF(VLOOKUP($A74,Tabelle1!$A$4:$BU$83,19,0)&lt;&gt;"",R$1,"")</f>
        <v/>
      </c>
      <c r="S74" t="str">
        <f>IF(VLOOKUP($A74,Tabelle1!$A$4:$BU$83,20,0)&lt;&gt;"",S$1,"")</f>
        <v/>
      </c>
      <c r="T74" t="str">
        <f>IF(VLOOKUP($A74,Tabelle1!$A$4:$BU$83,21,0)&lt;&gt;"",T$1,"")</f>
        <v/>
      </c>
      <c r="U74" t="str">
        <f>IF(VLOOKUP($A74,Tabelle1!$A$4:$BU$83,22,0)&lt;&gt;"",U$1,"")</f>
        <v/>
      </c>
      <c r="V74" t="str">
        <f>IF(VLOOKUP($A74,Tabelle1!$A$4:$BU$83,23,0)&lt;&gt;"",V$1,"")</f>
        <v>Kresse</v>
      </c>
      <c r="W74" t="str">
        <f>IF(VLOOKUP($A74,Tabelle1!$A$4:$BU$83,24,0)&lt;&gt;"",W$1,"")</f>
        <v/>
      </c>
      <c r="X74" t="str">
        <f>IF(VLOOKUP($A74,Tabelle1!$A$4:$BU$83,25,0)&lt;&gt;"",X$1,"")</f>
        <v/>
      </c>
      <c r="Y74" t="str">
        <f>IF(VLOOKUP($A74,Tabelle1!$A$4:$BU$83,26,0)&lt;&gt;"",Y$1,"")</f>
        <v/>
      </c>
      <c r="Z74" t="str">
        <f>IF(VLOOKUP($A74,Tabelle1!$A$4:$BU$83,27,0)&lt;&gt;"",Z$1,"")</f>
        <v/>
      </c>
      <c r="AA74" t="str">
        <f>IF(VLOOKUP($A74,Tabelle1!$A$4:$BU$83,28,0)&lt;&gt;"",AA$1,"")</f>
        <v/>
      </c>
      <c r="AB74" t="str">
        <f>IF(VLOOKUP($A74,Tabelle1!$A$4:$BU$83,29,0)&lt;&gt;"",AB$1,"")</f>
        <v>Meliorationsrettich</v>
      </c>
      <c r="AC74" t="str">
        <f>IF(VLOOKUP($A74,Tabelle1!$A$4:$BU$83,30,0)&lt;&gt;"",AC$1,"")</f>
        <v/>
      </c>
      <c r="AD74" t="str">
        <f>IF(VLOOKUP($A74,Tabelle1!$A$4:$BU$83,31,0)&lt;&gt;"",AD$1,"")</f>
        <v/>
      </c>
      <c r="AE74" t="str">
        <f>IF(VLOOKUP($A74,Tabelle1!$A$4:$BU$83,32,0)&lt;&gt;"",AE$1,"")</f>
        <v>Ölrettich</v>
      </c>
      <c r="AF74" t="str">
        <f>IF(VLOOKUP($A74,Tabelle1!$A$4:$BU$83,33,0)&lt;&gt;"",AF$1,"")</f>
        <v/>
      </c>
      <c r="AG74" t="str">
        <f>IF(VLOOKUP($A74,Tabelle1!$A$4:$BU$83,34,0)&lt;&gt;"",AG$1,"")</f>
        <v>Persischer Klee</v>
      </c>
      <c r="AH74" t="str">
        <f>IF(VLOOKUP($A74,Tabelle1!$A$4:$BU$83,35,0)&lt;&gt;"",AH$1,"")</f>
        <v>Phazelie</v>
      </c>
      <c r="AI74" t="str">
        <f>IF(VLOOKUP($A74,Tabelle1!$A$4:$BU$83,36,0)&lt;&gt;"",AI$1,"")</f>
        <v/>
      </c>
      <c r="AJ74" t="str">
        <f>IF(VLOOKUP($A74,Tabelle1!$A$4:$BU$83,37,0)&lt;&gt;"",AJ$1,"")</f>
        <v/>
      </c>
      <c r="AK74" t="str">
        <f>IF(VLOOKUP($A74,Tabelle1!$A$4:$BU$83,38,0)&lt;&gt;"",AK$1,"")</f>
        <v/>
      </c>
      <c r="AL74" t="str">
        <f>IF(VLOOKUP($A74,Tabelle1!$A$4:$BU$83,39,0)&lt;&gt;"",AL$1,"")</f>
        <v/>
      </c>
      <c r="AM74" t="str">
        <f>IF(VLOOKUP($A74,Tabelle1!$A$4:$BU$83,40,0)&lt;&gt;"",AM$1,"")</f>
        <v>Saatwicke / Sommerwicke</v>
      </c>
      <c r="AN74" t="str">
        <f>IF(VLOOKUP($A74,Tabelle1!$A$4:$BU$83,41,0)&lt;&gt;"",AN$1,"")</f>
        <v/>
      </c>
      <c r="AO74" t="str">
        <f>IF(VLOOKUP($A74,Tabelle1!$A$4:$BU$83,42,0)&lt;&gt;"",AO$1,"")</f>
        <v/>
      </c>
      <c r="AP74" t="str">
        <f>IF(VLOOKUP($A74,Tabelle1!$A$4:$BU$83,43,0)&lt;&gt;"",AP$1,"")</f>
        <v/>
      </c>
      <c r="AQ74" t="str">
        <f>IF(VLOOKUP($A74,Tabelle1!$A$4:$BU$83,44,0)&lt;&gt;"",AQ$1,"")</f>
        <v/>
      </c>
      <c r="AR74" t="str">
        <f>IF(VLOOKUP($A74,Tabelle1!$A$4:$BU$83,45,0)&lt;&gt;"",AR$1,"")</f>
        <v>Senf</v>
      </c>
      <c r="AS74" t="str">
        <f>IF(VLOOKUP($A74,Tabelle1!$A$4:$BU$83,46,0)&lt;&gt;"",AS$1,"")</f>
        <v/>
      </c>
      <c r="AT74" t="str">
        <f>IF(VLOOKUP($A74,Tabelle1!$A$4:$BU$83,47,0)&lt;&gt;"",AT$1,"")</f>
        <v/>
      </c>
      <c r="AU74" t="str">
        <f>IF(VLOOKUP($A74,Tabelle1!$A$4:$BU$83,48,0)&lt;&gt;"",AU$1,"")</f>
        <v/>
      </c>
      <c r="AV74" t="str">
        <f>IF(VLOOKUP($A74,Tabelle1!$A$4:$BU$83,49,0)&lt;&gt;"",AV$1,"")</f>
        <v/>
      </c>
      <c r="AW74" t="str">
        <f>IF(VLOOKUP($A74,Tabelle1!$A$4:$BU$83,50,0)&lt;&gt;"",AW$1,"")</f>
        <v/>
      </c>
      <c r="AX74" t="str">
        <f>IF(VLOOKUP($A74,Tabelle1!$A$4:$BU$83,51,0)&lt;&gt;"",AX$1,"")</f>
        <v/>
      </c>
      <c r="AY74" t="str">
        <f>IF(VLOOKUP($A74,Tabelle1!$A$4:$BU$83,52,0)&lt;&gt;"",AY$1,"")</f>
        <v/>
      </c>
      <c r="AZ74" t="str">
        <f>IF(VLOOKUP($A74,Tabelle1!$A$4:$BU$83,53,0)&lt;&gt;"",AZ$1,"")</f>
        <v/>
      </c>
      <c r="BA74" t="str">
        <f>IF(VLOOKUP($A74,Tabelle1!$A$4:$BU$83,54,0)&lt;&gt;"",BA$1,"")</f>
        <v/>
      </c>
      <c r="BB74" t="str">
        <f>IF(VLOOKUP($A74,Tabelle1!$A$4:$BU$83,55,0)&lt;&gt;"",BB$1,"")</f>
        <v/>
      </c>
      <c r="BC74" t="str">
        <f>IF(VLOOKUP($A74,Tabelle1!$A$4:$BU$83,56,0)&lt;&gt;"",BC$1,"")</f>
        <v/>
      </c>
      <c r="BD74" t="str">
        <f>IF(VLOOKUP($A74,Tabelle1!$A$4:$BU$83,57,0)&lt;&gt;"",BD$1,"")</f>
        <v/>
      </c>
      <c r="BE74" t="str">
        <f>IF(VLOOKUP($A74,Tabelle1!$A$4:$BU$83,58,0)&lt;&gt;"",BE$1,"")</f>
        <v/>
      </c>
      <c r="BF74" t="str">
        <f>IF(VLOOKUP($A74,Tabelle1!$A$4:$BU$83,59,0)&lt;&gt;"",BF$1,"")</f>
        <v/>
      </c>
      <c r="BG74" t="str">
        <f>IF(VLOOKUP($A74,Tabelle1!$A$4:$BU$83,60,0)&lt;&gt;"",BG$1,"")</f>
        <v/>
      </c>
      <c r="BH74" t="str">
        <f>IF(VLOOKUP($A74,Tabelle1!$A$4:$BU$83,61,0)&lt;&gt;"",BH$1,"")</f>
        <v/>
      </c>
      <c r="BI74" t="str">
        <f>IF(VLOOKUP($A74,Tabelle1!$A$4:$BU$83,62,0)&lt;&gt;"",BI$1,"")</f>
        <v/>
      </c>
      <c r="BJ74" t="str">
        <f>IF(VLOOKUP($A74,Tabelle1!$A$4:$BU$83,63,0)&lt;&gt;"",BJ$1,"")</f>
        <v/>
      </c>
      <c r="BK74" t="str">
        <f>IF(VLOOKUP($A74,Tabelle1!$A$4:$BU$83,64,0)&lt;&gt;"",BK$1,"")</f>
        <v/>
      </c>
      <c r="BL74" t="str">
        <f>IF(VLOOKUP($A74,Tabelle1!$A$4:$BU$83,65,0)&lt;&gt;"",BL$1,"")</f>
        <v/>
      </c>
      <c r="BM74" t="str">
        <f>IF(VLOOKUP($A74,Tabelle1!$A$4:$BU$83,66,0)&lt;&gt;"",BM$1,"")</f>
        <v/>
      </c>
      <c r="BN74" t="str">
        <f>IF(VLOOKUP($A74,Tabelle1!$A$4:$BU$83,67,0)&lt;&gt;"",BN$1,"")</f>
        <v/>
      </c>
      <c r="BO74" t="str">
        <f>IF(VLOOKUP($A74,Tabelle1!$A$4:$BU$83,68,0)&lt;&gt;"",BO$1,"")</f>
        <v/>
      </c>
      <c r="BP74" t="str">
        <f>IF(VLOOKUP($A74,Tabelle1!$A$4:$BU$83,69,0)&lt;&gt;"",BP$1,"")</f>
        <v/>
      </c>
      <c r="BQ74" t="str">
        <f>IF(VLOOKUP($A74,Tabelle1!$A$4:$BU$83,70,0)&lt;&gt;"",BQ$1,"")</f>
        <v/>
      </c>
      <c r="BR74" t="str">
        <f>IF(VLOOKUP($A74,Tabelle1!$A$4:$BU$83,71,0)&lt;&gt;"",BR$1,"")</f>
        <v/>
      </c>
      <c r="BS74" t="str">
        <f>IF(VLOOKUP($A74,Tabelle1!$A$4:$BU$83,72,0)&lt;&gt;"",BS$1,"")</f>
        <v/>
      </c>
      <c r="BT74" t="str">
        <f>IF(VLOOKUP($A74,Tabelle1!$A$4:$BU$83,73,0)&lt;&gt;"",BT$1,"")</f>
        <v/>
      </c>
    </row>
    <row r="75" spans="1:73" x14ac:dyDescent="0.2">
      <c r="A75" t="s">
        <v>967</v>
      </c>
      <c r="B75">
        <v>11</v>
      </c>
      <c r="C75" t="s">
        <v>971</v>
      </c>
      <c r="D75" t="str">
        <f>IF(VLOOKUP($A75,Tabelle1!$A$4:$BU$83,5,0)&lt;&gt;"",D$1,"")</f>
        <v xml:space="preserve">Abessinischer Senf </v>
      </c>
      <c r="E75" t="str">
        <f>IF(VLOOKUP($A75,Tabelle1!$A$4:$BU$83,6,0)&lt;&gt;"",E$1,"")</f>
        <v/>
      </c>
      <c r="F75" t="str">
        <f>IF(VLOOKUP($A75,Tabelle1!$A$4:$BU$83,7,0)&lt;&gt;"",F$1,"")</f>
        <v>Alexandrinerklee</v>
      </c>
      <c r="G75" t="str">
        <f>IF(VLOOKUP($A75,Tabelle1!$A$4:$BU$83,8,0)&lt;&gt;"",G$1,"")</f>
        <v/>
      </c>
      <c r="H75" t="str">
        <f>IF(VLOOKUP($A75,Tabelle1!$A$4:$BU$83,9,0)&lt;&gt;"",H$1,"")</f>
        <v/>
      </c>
      <c r="I75" t="str">
        <f>IF(VLOOKUP($A75,Tabelle1!$A$4:$BU$83,10,0)&lt;&gt;"",I$1,"")</f>
        <v/>
      </c>
      <c r="J75" t="str">
        <f>IF(VLOOKUP($A75,Tabelle1!$A$4:$BU$83,11,0)&lt;&gt;"",J$1,"")</f>
        <v/>
      </c>
      <c r="K75" t="str">
        <f>IF(VLOOKUP($A75,Tabelle1!$A$4:$BU$83,12,0)&lt;&gt;"",K$1,"")</f>
        <v/>
      </c>
      <c r="L75" t="str">
        <f>IF(VLOOKUP($A75,Tabelle1!$A$4:$BU$83,13,0)&lt;&gt;"",L$1,"")</f>
        <v/>
      </c>
      <c r="M75" t="str">
        <f>IF(VLOOKUP($A75,Tabelle1!$A$4:$BU$83,14,0)&lt;&gt;"",M$1,"")</f>
        <v/>
      </c>
      <c r="N75" t="str">
        <f>IF(VLOOKUP($A75,Tabelle1!$A$4:$BU$83,15,0)&lt;&gt;"",N$1,"")</f>
        <v/>
      </c>
      <c r="O75" t="str">
        <f>IF(VLOOKUP($A75,Tabelle1!$A$4:$BU$83,16,0)&lt;&gt;"",O$1,"")</f>
        <v/>
      </c>
      <c r="P75" t="str">
        <f>IF(VLOOKUP($A75,Tabelle1!$A$4:$BU$83,17,0)&lt;&gt;"",P$1,"")</f>
        <v/>
      </c>
      <c r="Q75" t="str">
        <f>IF(VLOOKUP($A75,Tabelle1!$A$4:$BU$83,18,0)&lt;&gt;"",Q$1,"")</f>
        <v/>
      </c>
      <c r="R75" t="str">
        <f>IF(VLOOKUP($A75,Tabelle1!$A$4:$BU$83,19,0)&lt;&gt;"",R$1,"")</f>
        <v/>
      </c>
      <c r="S75" t="str">
        <f>IF(VLOOKUP($A75,Tabelle1!$A$4:$BU$83,20,0)&lt;&gt;"",S$1,"")</f>
        <v/>
      </c>
      <c r="T75" t="str">
        <f>IF(VLOOKUP($A75,Tabelle1!$A$4:$BU$83,21,0)&lt;&gt;"",T$1,"")</f>
        <v/>
      </c>
      <c r="U75" t="str">
        <f>IF(VLOOKUP($A75,Tabelle1!$A$4:$BU$83,22,0)&lt;&gt;"",U$1,"")</f>
        <v/>
      </c>
      <c r="V75" t="str">
        <f>IF(VLOOKUP($A75,Tabelle1!$A$4:$BU$83,23,0)&lt;&gt;"",V$1,"")</f>
        <v/>
      </c>
      <c r="W75" t="str">
        <f>IF(VLOOKUP($A75,Tabelle1!$A$4:$BU$83,24,0)&lt;&gt;"",W$1,"")</f>
        <v/>
      </c>
      <c r="X75" t="str">
        <f>IF(VLOOKUP($A75,Tabelle1!$A$4:$BU$83,25,0)&lt;&gt;"",X$1,"")</f>
        <v/>
      </c>
      <c r="Y75" t="str">
        <f>IF(VLOOKUP($A75,Tabelle1!$A$4:$BU$83,26,0)&lt;&gt;"",Y$1,"")</f>
        <v/>
      </c>
      <c r="Z75" t="str">
        <f>IF(VLOOKUP($A75,Tabelle1!$A$4:$BU$83,27,0)&lt;&gt;"",Z$1,"")</f>
        <v/>
      </c>
      <c r="AA75" t="str">
        <f>IF(VLOOKUP($A75,Tabelle1!$A$4:$BU$83,28,0)&lt;&gt;"",AA$1,"")</f>
        <v/>
      </c>
      <c r="AB75" t="str">
        <f>IF(VLOOKUP($A75,Tabelle1!$A$4:$BU$83,29,0)&lt;&gt;"",AB$1,"")</f>
        <v>Meliorationsrettich</v>
      </c>
      <c r="AC75" t="str">
        <f>IF(VLOOKUP($A75,Tabelle1!$A$4:$BU$83,30,0)&lt;&gt;"",AC$1,"")</f>
        <v/>
      </c>
      <c r="AD75" t="str">
        <f>IF(VLOOKUP($A75,Tabelle1!$A$4:$BU$83,31,0)&lt;&gt;"",AD$1,"")</f>
        <v/>
      </c>
      <c r="AE75" t="str">
        <f>IF(VLOOKUP($A75,Tabelle1!$A$4:$BU$83,32,0)&lt;&gt;"",AE$1,"")</f>
        <v/>
      </c>
      <c r="AF75" t="str">
        <f>IF(VLOOKUP($A75,Tabelle1!$A$4:$BU$83,33,0)&lt;&gt;"",AF$1,"")</f>
        <v/>
      </c>
      <c r="AG75" t="str">
        <f>IF(VLOOKUP($A75,Tabelle1!$A$4:$BU$83,34,0)&lt;&gt;"",AG$1,"")</f>
        <v>Persischer Klee</v>
      </c>
      <c r="AH75" t="str">
        <f>IF(VLOOKUP($A75,Tabelle1!$A$4:$BU$83,35,0)&lt;&gt;"",AH$1,"")</f>
        <v/>
      </c>
      <c r="AI75" t="str">
        <f>IF(VLOOKUP($A75,Tabelle1!$A$4:$BU$83,36,0)&lt;&gt;"",AI$1,"")</f>
        <v/>
      </c>
      <c r="AJ75" t="str">
        <f>IF(VLOOKUP($A75,Tabelle1!$A$4:$BU$83,37,0)&lt;&gt;"",AJ$1,"")</f>
        <v/>
      </c>
      <c r="AK75" t="str">
        <f>IF(VLOOKUP($A75,Tabelle1!$A$4:$BU$83,38,0)&lt;&gt;"",AK$1,"")</f>
        <v/>
      </c>
      <c r="AL75" t="str">
        <f>IF(VLOOKUP($A75,Tabelle1!$A$4:$BU$83,39,0)&lt;&gt;"",AL$1,"")</f>
        <v/>
      </c>
      <c r="AM75" t="str">
        <f>IF(VLOOKUP($A75,Tabelle1!$A$4:$BU$83,40,0)&lt;&gt;"",AM$1,"")</f>
        <v/>
      </c>
      <c r="AN75" t="str">
        <f>IF(VLOOKUP($A75,Tabelle1!$A$4:$BU$83,41,0)&lt;&gt;"",AN$1,"")</f>
        <v/>
      </c>
      <c r="AO75" t="str">
        <f>IF(VLOOKUP($A75,Tabelle1!$A$4:$BU$83,42,0)&lt;&gt;"",AO$1,"")</f>
        <v/>
      </c>
      <c r="AP75" t="str">
        <f>IF(VLOOKUP($A75,Tabelle1!$A$4:$BU$83,43,0)&lt;&gt;"",AP$1,"")</f>
        <v/>
      </c>
      <c r="AQ75" t="str">
        <f>IF(VLOOKUP($A75,Tabelle1!$A$4:$BU$83,44,0)&lt;&gt;"",AQ$1,"")</f>
        <v/>
      </c>
      <c r="AR75" t="str">
        <f>IF(VLOOKUP($A75,Tabelle1!$A$4:$BU$83,45,0)&lt;&gt;"",AR$1,"")</f>
        <v/>
      </c>
      <c r="AS75" t="str">
        <f>IF(VLOOKUP($A75,Tabelle1!$A$4:$BU$83,46,0)&lt;&gt;"",AS$1,"")</f>
        <v/>
      </c>
      <c r="AT75" t="str">
        <f>IF(VLOOKUP($A75,Tabelle1!$A$4:$BU$83,47,0)&lt;&gt;"",AT$1,"")</f>
        <v/>
      </c>
      <c r="AU75" t="str">
        <f>IF(VLOOKUP($A75,Tabelle1!$A$4:$BU$83,48,0)&lt;&gt;"",AU$1,"")</f>
        <v/>
      </c>
      <c r="AV75" t="str">
        <f>IF(VLOOKUP($A75,Tabelle1!$A$4:$BU$83,49,0)&lt;&gt;"",AV$1,"")</f>
        <v/>
      </c>
      <c r="AW75" t="str">
        <f>IF(VLOOKUP($A75,Tabelle1!$A$4:$BU$83,50,0)&lt;&gt;"",AW$1,"")</f>
        <v/>
      </c>
      <c r="AX75" t="str">
        <f>IF(VLOOKUP($A75,Tabelle1!$A$4:$BU$83,51,0)&lt;&gt;"",AX$1,"")</f>
        <v/>
      </c>
      <c r="AY75" t="str">
        <f>IF(VLOOKUP($A75,Tabelle1!$A$4:$BU$83,52,0)&lt;&gt;"",AY$1,"")</f>
        <v/>
      </c>
      <c r="AZ75" t="str">
        <f>IF(VLOOKUP($A75,Tabelle1!$A$4:$BU$83,53,0)&lt;&gt;"",AZ$1,"")</f>
        <v/>
      </c>
      <c r="BA75" t="str">
        <f>IF(VLOOKUP($A75,Tabelle1!$A$4:$BU$83,54,0)&lt;&gt;"",BA$1,"")</f>
        <v/>
      </c>
      <c r="BB75" t="str">
        <f>IF(VLOOKUP($A75,Tabelle1!$A$4:$BU$83,55,0)&lt;&gt;"",BB$1,"")</f>
        <v/>
      </c>
      <c r="BC75" t="str">
        <f>IF(VLOOKUP($A75,Tabelle1!$A$4:$BU$83,56,0)&lt;&gt;"",BC$1,"")</f>
        <v/>
      </c>
      <c r="BD75" t="str">
        <f>IF(VLOOKUP($A75,Tabelle1!$A$4:$BU$83,57,0)&lt;&gt;"",BD$1,"")</f>
        <v/>
      </c>
      <c r="BE75" t="str">
        <f>IF(VLOOKUP($A75,Tabelle1!$A$4:$BU$83,58,0)&lt;&gt;"",BE$1,"")</f>
        <v/>
      </c>
      <c r="BF75" t="str">
        <f>IF(VLOOKUP($A75,Tabelle1!$A$4:$BU$83,59,0)&lt;&gt;"",BF$1,"")</f>
        <v/>
      </c>
      <c r="BG75" t="str">
        <f>IF(VLOOKUP($A75,Tabelle1!$A$4:$BU$83,60,0)&lt;&gt;"",BG$1,"")</f>
        <v/>
      </c>
      <c r="BH75" t="str">
        <f>IF(VLOOKUP($A75,Tabelle1!$A$4:$BU$83,61,0)&lt;&gt;"",BH$1,"")</f>
        <v/>
      </c>
      <c r="BI75" t="str">
        <f>IF(VLOOKUP($A75,Tabelle1!$A$4:$BU$83,62,0)&lt;&gt;"",BI$1,"")</f>
        <v/>
      </c>
      <c r="BJ75" t="str">
        <f>IF(VLOOKUP($A75,Tabelle1!$A$4:$BU$83,63,0)&lt;&gt;"",BJ$1,"")</f>
        <v/>
      </c>
      <c r="BK75" t="str">
        <f>IF(VLOOKUP($A75,Tabelle1!$A$4:$BU$83,64,0)&lt;&gt;"",BK$1,"")</f>
        <v/>
      </c>
      <c r="BL75" t="str">
        <f>IF(VLOOKUP($A75,Tabelle1!$A$4:$BU$83,65,0)&lt;&gt;"",BL$1,"")</f>
        <v/>
      </c>
      <c r="BM75" t="str">
        <f>IF(VLOOKUP($A75,Tabelle1!$A$4:$BU$83,66,0)&lt;&gt;"",BM$1,"")</f>
        <v/>
      </c>
      <c r="BN75" t="str">
        <f>IF(VLOOKUP($A75,Tabelle1!$A$4:$BU$83,67,0)&lt;&gt;"",BN$1,"")</f>
        <v/>
      </c>
      <c r="BO75" t="str">
        <f>IF(VLOOKUP($A75,Tabelle1!$A$4:$BU$83,68,0)&lt;&gt;"",BO$1,"")</f>
        <v/>
      </c>
      <c r="BP75" t="str">
        <f>IF(VLOOKUP($A75,Tabelle1!$A$4:$BU$83,69,0)&lt;&gt;"",BP$1,"")</f>
        <v/>
      </c>
      <c r="BQ75" t="str">
        <f>IF(VLOOKUP($A75,Tabelle1!$A$4:$BU$83,70,0)&lt;&gt;"",BQ$1,"")</f>
        <v/>
      </c>
      <c r="BR75" t="str">
        <f>IF(VLOOKUP($A75,Tabelle1!$A$4:$BU$83,71,0)&lt;&gt;"",BR$1,"")</f>
        <v/>
      </c>
      <c r="BS75" t="str">
        <f>IF(VLOOKUP($A75,Tabelle1!$A$4:$BU$83,72,0)&lt;&gt;"",BS$1,"")</f>
        <v/>
      </c>
      <c r="BT75" t="str">
        <f>IF(VLOOKUP($A75,Tabelle1!$A$4:$BU$83,73,0)&lt;&gt;"",BT$1,"")</f>
        <v/>
      </c>
    </row>
    <row r="76" spans="1:73" x14ac:dyDescent="0.2">
      <c r="A76" t="s">
        <v>972</v>
      </c>
      <c r="B76">
        <v>30.5</v>
      </c>
      <c r="C76" t="s">
        <v>971</v>
      </c>
      <c r="D76" t="str">
        <f>IF(VLOOKUP($A76,Tabelle1!$A$4:$BU$83,5,0)&lt;&gt;"",D$1,"")</f>
        <v/>
      </c>
      <c r="E76" t="str">
        <f>IF(VLOOKUP($A76,Tabelle1!$A$4:$BU$83,6,0)&lt;&gt;"",E$1,"")</f>
        <v/>
      </c>
      <c r="F76" t="str">
        <f>IF(VLOOKUP($A76,Tabelle1!$A$4:$BU$83,7,0)&lt;&gt;"",F$1,"")</f>
        <v/>
      </c>
      <c r="G76" t="str">
        <f>IF(VLOOKUP($A76,Tabelle1!$A$4:$BU$83,8,0)&lt;&gt;"",G$1,"")</f>
        <v/>
      </c>
      <c r="H76" t="str">
        <f>IF(VLOOKUP($A76,Tabelle1!$A$4:$BU$83,9,0)&lt;&gt;"",H$1,"")</f>
        <v/>
      </c>
      <c r="I76" t="str">
        <f>IF(VLOOKUP($A76,Tabelle1!$A$4:$BU$83,10,0)&lt;&gt;"",I$1,"")</f>
        <v/>
      </c>
      <c r="J76" t="str">
        <f>IF(VLOOKUP($A76,Tabelle1!$A$4:$BU$83,11,0)&lt;&gt;"",J$1,"")</f>
        <v/>
      </c>
      <c r="K76" t="str">
        <f>IF(VLOOKUP($A76,Tabelle1!$A$4:$BU$83,12,0)&lt;&gt;"",K$1,"")</f>
        <v/>
      </c>
      <c r="L76" t="str">
        <f>IF(VLOOKUP($A76,Tabelle1!$A$4:$BU$83,13,0)&lt;&gt;"",L$1,"")</f>
        <v/>
      </c>
      <c r="M76" t="str">
        <f>IF(VLOOKUP($A76,Tabelle1!$A$4:$BU$83,14,0)&lt;&gt;"",M$1,"")</f>
        <v/>
      </c>
      <c r="N76" t="str">
        <f>IF(VLOOKUP($A76,Tabelle1!$A$4:$BU$83,15,0)&lt;&gt;"",N$1,"")</f>
        <v/>
      </c>
      <c r="O76" t="str">
        <f>IF(VLOOKUP($A76,Tabelle1!$A$4:$BU$83,16,0)&lt;&gt;"",O$1,"")</f>
        <v/>
      </c>
      <c r="P76" t="str">
        <f>IF(VLOOKUP($A76,Tabelle1!$A$4:$BU$83,17,0)&lt;&gt;"",P$1,"")</f>
        <v/>
      </c>
      <c r="Q76" t="str">
        <f>IF(VLOOKUP($A76,Tabelle1!$A$4:$BU$83,18,0)&lt;&gt;"",Q$1,"")</f>
        <v/>
      </c>
      <c r="R76" t="str">
        <f>IF(VLOOKUP($A76,Tabelle1!$A$4:$BU$83,19,0)&lt;&gt;"",R$1,"")</f>
        <v/>
      </c>
      <c r="S76" t="str">
        <f>IF(VLOOKUP($A76,Tabelle1!$A$4:$BU$83,20,0)&lt;&gt;"",S$1,"")</f>
        <v/>
      </c>
      <c r="T76" t="str">
        <f>IF(VLOOKUP($A76,Tabelle1!$A$4:$BU$83,21,0)&lt;&gt;"",T$1,"")</f>
        <v>Inkarnatklee</v>
      </c>
      <c r="U76" t="str">
        <f>IF(VLOOKUP($A76,Tabelle1!$A$4:$BU$83,22,0)&lt;&gt;"",U$1,"")</f>
        <v/>
      </c>
      <c r="V76" t="str">
        <f>IF(VLOOKUP($A76,Tabelle1!$A$4:$BU$83,23,0)&lt;&gt;"",V$1,"")</f>
        <v/>
      </c>
      <c r="W76" t="str">
        <f>IF(VLOOKUP($A76,Tabelle1!$A$4:$BU$83,24,0)&lt;&gt;"",W$1,"")</f>
        <v/>
      </c>
      <c r="X76" t="str">
        <f>IF(VLOOKUP($A76,Tabelle1!$A$4:$BU$83,25,0)&lt;&gt;"",X$1,"")</f>
        <v/>
      </c>
      <c r="Y76" t="str">
        <f>IF(VLOOKUP($A76,Tabelle1!$A$4:$BU$83,26,0)&lt;&gt;"",Y$1,"")</f>
        <v/>
      </c>
      <c r="Z76" t="str">
        <f>IF(VLOOKUP($A76,Tabelle1!$A$4:$BU$83,27,0)&lt;&gt;"",Z$1,"")</f>
        <v/>
      </c>
      <c r="AA76" t="str">
        <f>IF(VLOOKUP($A76,Tabelle1!$A$4:$BU$83,28,0)&lt;&gt;"",AA$1,"")</f>
        <v/>
      </c>
      <c r="AB76" t="str">
        <f>IF(VLOOKUP($A76,Tabelle1!$A$4:$BU$83,29,0)&lt;&gt;"",AB$1,"")</f>
        <v/>
      </c>
      <c r="AC76" t="str">
        <f>IF(VLOOKUP($A76,Tabelle1!$A$4:$BU$83,30,0)&lt;&gt;"",AC$1,"")</f>
        <v>Schwarzsamen/Ramtilkraut/Gingellikraut/Mungo</v>
      </c>
      <c r="AD76" t="str">
        <f>IF(VLOOKUP($A76,Tabelle1!$A$4:$BU$83,31,0)&lt;&gt;"",AD$1,"")</f>
        <v>Öllein</v>
      </c>
      <c r="AE76" t="str">
        <f>IF(VLOOKUP($A76,Tabelle1!$A$4:$BU$83,32,0)&lt;&gt;"",AE$1,"")</f>
        <v/>
      </c>
      <c r="AF76" t="str">
        <f>IF(VLOOKUP($A76,Tabelle1!$A$4:$BU$83,33,0)&lt;&gt;"",AF$1,"")</f>
        <v/>
      </c>
      <c r="AG76" t="str">
        <f>IF(VLOOKUP($A76,Tabelle1!$A$4:$BU$83,34,0)&lt;&gt;"",AG$1,"")</f>
        <v/>
      </c>
      <c r="AH76" t="str">
        <f>IF(VLOOKUP($A76,Tabelle1!$A$4:$BU$83,35,0)&lt;&gt;"",AH$1,"")</f>
        <v>Phazelie</v>
      </c>
      <c r="AI76" t="str">
        <f>IF(VLOOKUP($A76,Tabelle1!$A$4:$BU$83,36,0)&lt;&gt;"",AI$1,"")</f>
        <v/>
      </c>
      <c r="AJ76" t="str">
        <f>IF(VLOOKUP($A76,Tabelle1!$A$4:$BU$83,37,0)&lt;&gt;"",AJ$1,"")</f>
        <v/>
      </c>
      <c r="AK76" t="str">
        <f>IF(VLOOKUP($A76,Tabelle1!$A$4:$BU$83,38,0)&lt;&gt;"",AK$1,"")</f>
        <v/>
      </c>
      <c r="AL76" t="str">
        <f>IF(VLOOKUP($A76,Tabelle1!$A$4:$BU$83,39,0)&lt;&gt;"",AL$1,"")</f>
        <v/>
      </c>
      <c r="AM76" t="str">
        <f>IF(VLOOKUP($A76,Tabelle1!$A$4:$BU$83,40,0)&lt;&gt;"",AM$1,"")</f>
        <v/>
      </c>
      <c r="AN76" t="str">
        <f>IF(VLOOKUP($A76,Tabelle1!$A$4:$BU$83,41,0)&lt;&gt;"",AN$1,"")</f>
        <v/>
      </c>
      <c r="AO76" t="str">
        <f>IF(VLOOKUP($A76,Tabelle1!$A$4:$BU$83,42,0)&lt;&gt;"",AO$1,"")</f>
        <v/>
      </c>
      <c r="AP76" t="str">
        <f>IF(VLOOKUP($A76,Tabelle1!$A$4:$BU$83,43,0)&lt;&gt;"",AP$1,"")</f>
        <v/>
      </c>
      <c r="AQ76" t="str">
        <f>IF(VLOOKUP($A76,Tabelle1!$A$4:$BU$83,44,0)&lt;&gt;"",AQ$1,"")</f>
        <v/>
      </c>
      <c r="AR76" t="str">
        <f>IF(VLOOKUP($A76,Tabelle1!$A$4:$BU$83,45,0)&lt;&gt;"",AR$1,"")</f>
        <v/>
      </c>
      <c r="AS76" t="str">
        <f>IF(VLOOKUP($A76,Tabelle1!$A$4:$BU$83,46,0)&lt;&gt;"",AS$1,"")</f>
        <v/>
      </c>
      <c r="AT76" t="str">
        <f>IF(VLOOKUP($A76,Tabelle1!$A$4:$BU$83,47,0)&lt;&gt;"",AT$1,"")</f>
        <v/>
      </c>
      <c r="AU76" t="str">
        <f>IF(VLOOKUP($A76,Tabelle1!$A$4:$BU$83,48,0)&lt;&gt;"",AU$1,"")</f>
        <v/>
      </c>
      <c r="AV76" t="str">
        <f>IF(VLOOKUP($A76,Tabelle1!$A$4:$BU$83,49,0)&lt;&gt;"",AV$1,"")</f>
        <v>Spitzwegerich</v>
      </c>
      <c r="AW76" t="str">
        <f>IF(VLOOKUP($A76,Tabelle1!$A$4:$BU$83,50,0)&lt;&gt;"",AW$1,"")</f>
        <v/>
      </c>
      <c r="AX76" t="str">
        <f>IF(VLOOKUP($A76,Tabelle1!$A$4:$BU$83,51,0)&lt;&gt;"",AX$1,"")</f>
        <v/>
      </c>
      <c r="AY76" t="str">
        <f>IF(VLOOKUP($A76,Tabelle1!$A$4:$BU$83,52,0)&lt;&gt;"",AY$1,"")</f>
        <v/>
      </c>
      <c r="AZ76" t="str">
        <f>IF(VLOOKUP($A76,Tabelle1!$A$4:$BU$83,53,0)&lt;&gt;"",AZ$1,"")</f>
        <v/>
      </c>
      <c r="BA76" t="str">
        <f>IF(VLOOKUP($A76,Tabelle1!$A$4:$BU$83,54,0)&lt;&gt;"",BA$1,"")</f>
        <v/>
      </c>
      <c r="BB76" t="str">
        <f>IF(VLOOKUP($A76,Tabelle1!$A$4:$BU$83,55,0)&lt;&gt;"",BB$1,"")</f>
        <v/>
      </c>
      <c r="BC76" t="str">
        <f>IF(VLOOKUP($A76,Tabelle1!$A$4:$BU$83,56,0)&lt;&gt;"",BC$1,"")</f>
        <v>Winterrübsen</v>
      </c>
      <c r="BD76" t="str">
        <f>IF(VLOOKUP($A76,Tabelle1!$A$4:$BU$83,57,0)&lt;&gt;"",BD$1,"")</f>
        <v>Winterwicke Pannonisch</v>
      </c>
      <c r="BE76" t="str">
        <f>IF(VLOOKUP($A76,Tabelle1!$A$4:$BU$83,58,0)&lt;&gt;"",BE$1,"")</f>
        <v/>
      </c>
      <c r="BF76" t="str">
        <f>IF(VLOOKUP($A76,Tabelle1!$A$4:$BU$83,59,0)&lt;&gt;"",BF$1,"")</f>
        <v/>
      </c>
      <c r="BG76" t="str">
        <f>IF(VLOOKUP($A76,Tabelle1!$A$4:$BU$83,60,0)&lt;&gt;"",BG$1,"")</f>
        <v/>
      </c>
      <c r="BH76" t="str">
        <f>IF(VLOOKUP($A76,Tabelle1!$A$4:$BU$83,61,0)&lt;&gt;"",BH$1,"")</f>
        <v/>
      </c>
      <c r="BI76" t="str">
        <f>IF(VLOOKUP($A76,Tabelle1!$A$4:$BU$83,62,0)&lt;&gt;"",BI$1,"")</f>
        <v/>
      </c>
      <c r="BJ76" t="str">
        <f>IF(VLOOKUP($A76,Tabelle1!$A$4:$BU$83,63,0)&lt;&gt;"",BJ$1,"")</f>
        <v/>
      </c>
      <c r="BK76" t="str">
        <f>IF(VLOOKUP($A76,Tabelle1!$A$4:$BU$83,64,0)&lt;&gt;"",BK$1,"")</f>
        <v/>
      </c>
      <c r="BL76" t="str">
        <f>IF(VLOOKUP($A76,Tabelle1!$A$4:$BU$83,65,0)&lt;&gt;"",BL$1,"")</f>
        <v/>
      </c>
      <c r="BM76" t="str">
        <f>IF(VLOOKUP($A76,Tabelle1!$A$4:$BU$83,66,0)&lt;&gt;"",BM$1,"")</f>
        <v/>
      </c>
      <c r="BN76" t="str">
        <f>IF(VLOOKUP($A76,Tabelle1!$A$4:$BU$83,67,0)&lt;&gt;"",BN$1,"")</f>
        <v/>
      </c>
      <c r="BO76" t="str">
        <f>IF(VLOOKUP($A76,Tabelle1!$A$4:$BU$83,68,0)&lt;&gt;"",BO$1,"")</f>
        <v/>
      </c>
      <c r="BP76" t="str">
        <f>IF(VLOOKUP($A76,Tabelle1!$A$4:$BU$83,69,0)&lt;&gt;"",BP$1,"")</f>
        <v/>
      </c>
      <c r="BQ76" t="str">
        <f>IF(VLOOKUP($A76,Tabelle1!$A$4:$BU$83,70,0)&lt;&gt;"",BQ$1,"")</f>
        <v/>
      </c>
      <c r="BR76" t="str">
        <f>IF(VLOOKUP($A76,Tabelle1!$A$4:$BU$83,71,0)&lt;&gt;"",BR$1,"")</f>
        <v/>
      </c>
      <c r="BS76" t="str">
        <f>IF(VLOOKUP($A76,Tabelle1!$A$4:$BU$83,72,0)&lt;&gt;"",BS$1,"")</f>
        <v/>
      </c>
      <c r="BT76" t="str">
        <f>IF(VLOOKUP($A76,Tabelle1!$A$4:$BU$83,73,0)&lt;&gt;"",BT$1,"")</f>
        <v/>
      </c>
    </row>
    <row r="77" spans="1:73" x14ac:dyDescent="0.2">
      <c r="A77" t="s">
        <v>968</v>
      </c>
      <c r="B77">
        <v>17</v>
      </c>
      <c r="C77" t="s">
        <v>971</v>
      </c>
      <c r="D77" t="str">
        <f>IF(VLOOKUP($A77,Tabelle1!$A$4:$BU$83,5,0)&lt;&gt;"",D$1,"")</f>
        <v/>
      </c>
      <c r="E77" t="str">
        <f>IF(VLOOKUP($A77,Tabelle1!$A$4:$BU$83,6,0)&lt;&gt;"",E$1,"")</f>
        <v/>
      </c>
      <c r="F77" t="str">
        <f>IF(VLOOKUP($A77,Tabelle1!$A$4:$BU$83,7,0)&lt;&gt;"",F$1,"")</f>
        <v>Alexandrinerklee</v>
      </c>
      <c r="G77" t="str">
        <f>IF(VLOOKUP($A77,Tabelle1!$A$4:$BU$83,8,0)&lt;&gt;"",G$1,"")</f>
        <v/>
      </c>
      <c r="H77" t="str">
        <f>IF(VLOOKUP($A77,Tabelle1!$A$4:$BU$83,9,0)&lt;&gt;"",H$1,"")</f>
        <v/>
      </c>
      <c r="I77" t="str">
        <f>IF(VLOOKUP($A77,Tabelle1!$A$4:$BU$83,10,0)&lt;&gt;"",I$1,"")</f>
        <v/>
      </c>
      <c r="J77" t="str">
        <f>IF(VLOOKUP($A77,Tabelle1!$A$4:$BU$83,11,0)&lt;&gt;"",J$1,"")</f>
        <v/>
      </c>
      <c r="K77" t="str">
        <f>IF(VLOOKUP($A77,Tabelle1!$A$4:$BU$83,12,0)&lt;&gt;"",K$1,"")</f>
        <v/>
      </c>
      <c r="L77" t="str">
        <f>IF(VLOOKUP($A77,Tabelle1!$A$4:$BU$83,13,0)&lt;&gt;"",L$1,"")</f>
        <v/>
      </c>
      <c r="M77" t="str">
        <f>IF(VLOOKUP($A77,Tabelle1!$A$4:$BU$83,14,0)&lt;&gt;"",M$1,"")</f>
        <v/>
      </c>
      <c r="N77" t="str">
        <f>IF(VLOOKUP($A77,Tabelle1!$A$4:$BU$83,15,0)&lt;&gt;"",N$1,"")</f>
        <v/>
      </c>
      <c r="O77" t="str">
        <f>IF(VLOOKUP($A77,Tabelle1!$A$4:$BU$83,16,0)&lt;&gt;"",O$1,"")</f>
        <v/>
      </c>
      <c r="P77" t="str">
        <f>IF(VLOOKUP($A77,Tabelle1!$A$4:$BU$83,17,0)&lt;&gt;"",P$1,"")</f>
        <v/>
      </c>
      <c r="Q77" t="str">
        <f>IF(VLOOKUP($A77,Tabelle1!$A$4:$BU$83,18,0)&lt;&gt;"",Q$1,"")</f>
        <v/>
      </c>
      <c r="R77" t="str">
        <f>IF(VLOOKUP($A77,Tabelle1!$A$4:$BU$83,19,0)&lt;&gt;"",R$1,"")</f>
        <v/>
      </c>
      <c r="S77" t="str">
        <f>IF(VLOOKUP($A77,Tabelle1!$A$4:$BU$83,20,0)&lt;&gt;"",S$1,"")</f>
        <v/>
      </c>
      <c r="T77" t="str">
        <f>IF(VLOOKUP($A77,Tabelle1!$A$4:$BU$83,21,0)&lt;&gt;"",T$1,"")</f>
        <v/>
      </c>
      <c r="U77" t="str">
        <f>IF(VLOOKUP($A77,Tabelle1!$A$4:$BU$83,22,0)&lt;&gt;"",U$1,"")</f>
        <v/>
      </c>
      <c r="V77" t="str">
        <f>IF(VLOOKUP($A77,Tabelle1!$A$4:$BU$83,23,0)&lt;&gt;"",V$1,"")</f>
        <v/>
      </c>
      <c r="W77" t="str">
        <f>IF(VLOOKUP($A77,Tabelle1!$A$4:$BU$83,24,0)&lt;&gt;"",W$1,"")</f>
        <v/>
      </c>
      <c r="X77" t="str">
        <f>IF(VLOOKUP($A77,Tabelle1!$A$4:$BU$83,25,0)&lt;&gt;"",X$1,"")</f>
        <v/>
      </c>
      <c r="Y77" t="str">
        <f>IF(VLOOKUP($A77,Tabelle1!$A$4:$BU$83,26,0)&lt;&gt;"",Y$1,"")</f>
        <v/>
      </c>
      <c r="Z77" t="str">
        <f>IF(VLOOKUP($A77,Tabelle1!$A$4:$BU$83,27,0)&lt;&gt;"",Z$1,"")</f>
        <v/>
      </c>
      <c r="AA77" t="str">
        <f>IF(VLOOKUP($A77,Tabelle1!$A$4:$BU$83,28,0)&lt;&gt;"",AA$1,"")</f>
        <v/>
      </c>
      <c r="AB77" t="str">
        <f>IF(VLOOKUP($A77,Tabelle1!$A$4:$BU$83,29,0)&lt;&gt;"",AB$1,"")</f>
        <v/>
      </c>
      <c r="AC77" t="str">
        <f>IF(VLOOKUP($A77,Tabelle1!$A$4:$BU$83,30,0)&lt;&gt;"",AC$1,"")</f>
        <v>Schwarzsamen/Ramtilkraut/Gingellikraut/Mungo</v>
      </c>
      <c r="AD77" t="str">
        <f>IF(VLOOKUP($A77,Tabelle1!$A$4:$BU$83,31,0)&lt;&gt;"",AD$1,"")</f>
        <v/>
      </c>
      <c r="AE77" t="str">
        <f>IF(VLOOKUP($A77,Tabelle1!$A$4:$BU$83,32,0)&lt;&gt;"",AE$1,"")</f>
        <v/>
      </c>
      <c r="AF77" t="str">
        <f>IF(VLOOKUP($A77,Tabelle1!$A$4:$BU$83,33,0)&lt;&gt;"",AF$1,"")</f>
        <v/>
      </c>
      <c r="AG77" t="str">
        <f>IF(VLOOKUP($A77,Tabelle1!$A$4:$BU$83,34,0)&lt;&gt;"",AG$1,"")</f>
        <v/>
      </c>
      <c r="AH77" t="str">
        <f>IF(VLOOKUP($A77,Tabelle1!$A$4:$BU$83,35,0)&lt;&gt;"",AH$1,"")</f>
        <v/>
      </c>
      <c r="AI77" t="str">
        <f>IF(VLOOKUP($A77,Tabelle1!$A$4:$BU$83,36,0)&lt;&gt;"",AI$1,"")</f>
        <v/>
      </c>
      <c r="AJ77" t="str">
        <f>IF(VLOOKUP($A77,Tabelle1!$A$4:$BU$83,37,0)&lt;&gt;"",AJ$1,"")</f>
        <v/>
      </c>
      <c r="AK77" t="str">
        <f>IF(VLOOKUP($A77,Tabelle1!$A$4:$BU$83,38,0)&lt;&gt;"",AK$1,"")</f>
        <v/>
      </c>
      <c r="AL77" t="str">
        <f>IF(VLOOKUP($A77,Tabelle1!$A$4:$BU$83,39,0)&lt;&gt;"",AL$1,"")</f>
        <v/>
      </c>
      <c r="AM77" t="str">
        <f>IF(VLOOKUP($A77,Tabelle1!$A$4:$BU$83,40,0)&lt;&gt;"",AM$1,"")</f>
        <v/>
      </c>
      <c r="AN77" t="str">
        <f>IF(VLOOKUP($A77,Tabelle1!$A$4:$BU$83,41,0)&lt;&gt;"",AN$1,"")</f>
        <v/>
      </c>
      <c r="AO77" t="str">
        <f>IF(VLOOKUP($A77,Tabelle1!$A$4:$BU$83,42,0)&lt;&gt;"",AO$1,"")</f>
        <v/>
      </c>
      <c r="AP77" t="str">
        <f>IF(VLOOKUP($A77,Tabelle1!$A$4:$BU$83,43,0)&lt;&gt;"",AP$1,"")</f>
        <v/>
      </c>
      <c r="AQ77" t="str">
        <f>IF(VLOOKUP($A77,Tabelle1!$A$4:$BU$83,44,0)&lt;&gt;"",AQ$1,"")</f>
        <v/>
      </c>
      <c r="AR77" t="str">
        <f>IF(VLOOKUP($A77,Tabelle1!$A$4:$BU$83,45,0)&lt;&gt;"",AR$1,"")</f>
        <v>Senf</v>
      </c>
      <c r="AS77" t="str">
        <f>IF(VLOOKUP($A77,Tabelle1!$A$4:$BU$83,46,0)&lt;&gt;"",AS$1,"")</f>
        <v/>
      </c>
      <c r="AT77" t="str">
        <f>IF(VLOOKUP($A77,Tabelle1!$A$4:$BU$83,47,0)&lt;&gt;"",AT$1,"")</f>
        <v/>
      </c>
      <c r="AU77" t="str">
        <f>IF(VLOOKUP($A77,Tabelle1!$A$4:$BU$83,48,0)&lt;&gt;"",AU$1,"")</f>
        <v/>
      </c>
      <c r="AV77" t="str">
        <f>IF(VLOOKUP($A77,Tabelle1!$A$4:$BU$83,49,0)&lt;&gt;"",AV$1,"")</f>
        <v/>
      </c>
      <c r="AW77" t="str">
        <f>IF(VLOOKUP($A77,Tabelle1!$A$4:$BU$83,50,0)&lt;&gt;"",AW$1,"")</f>
        <v/>
      </c>
      <c r="AX77" t="str">
        <f>IF(VLOOKUP($A77,Tabelle1!$A$4:$BU$83,51,0)&lt;&gt;"",AX$1,"")</f>
        <v/>
      </c>
      <c r="AY77" t="str">
        <f>IF(VLOOKUP($A77,Tabelle1!$A$4:$BU$83,52,0)&lt;&gt;"",AY$1,"")</f>
        <v/>
      </c>
      <c r="AZ77" t="str">
        <f>IF(VLOOKUP($A77,Tabelle1!$A$4:$BU$83,53,0)&lt;&gt;"",AZ$1,"")</f>
        <v/>
      </c>
      <c r="BA77" t="str">
        <f>IF(VLOOKUP($A77,Tabelle1!$A$4:$BU$83,54,0)&lt;&gt;"",BA$1,"")</f>
        <v/>
      </c>
      <c r="BB77" t="str">
        <f>IF(VLOOKUP($A77,Tabelle1!$A$4:$BU$83,55,0)&lt;&gt;"",BB$1,"")</f>
        <v/>
      </c>
      <c r="BC77" t="str">
        <f>IF(VLOOKUP($A77,Tabelle1!$A$4:$BU$83,56,0)&lt;&gt;"",BC$1,"")</f>
        <v/>
      </c>
      <c r="BD77" t="str">
        <f>IF(VLOOKUP($A77,Tabelle1!$A$4:$BU$83,57,0)&lt;&gt;"",BD$1,"")</f>
        <v/>
      </c>
      <c r="BE77" t="str">
        <f>IF(VLOOKUP($A77,Tabelle1!$A$4:$BU$83,58,0)&lt;&gt;"",BE$1,"")</f>
        <v/>
      </c>
      <c r="BF77" t="str">
        <f>IF(VLOOKUP($A77,Tabelle1!$A$4:$BU$83,59,0)&lt;&gt;"",BF$1,"")</f>
        <v/>
      </c>
      <c r="BG77" t="str">
        <f>IF(VLOOKUP($A77,Tabelle1!$A$4:$BU$83,60,0)&lt;&gt;"",BG$1,"")</f>
        <v/>
      </c>
      <c r="BH77" t="str">
        <f>IF(VLOOKUP($A77,Tabelle1!$A$4:$BU$83,61,0)&lt;&gt;"",BH$1,"")</f>
        <v/>
      </c>
      <c r="BI77" t="str">
        <f>IF(VLOOKUP($A77,Tabelle1!$A$4:$BU$83,62,0)&lt;&gt;"",BI$1,"")</f>
        <v/>
      </c>
      <c r="BJ77" t="str">
        <f>IF(VLOOKUP($A77,Tabelle1!$A$4:$BU$83,63,0)&lt;&gt;"",BJ$1,"")</f>
        <v/>
      </c>
      <c r="BK77" t="str">
        <f>IF(VLOOKUP($A77,Tabelle1!$A$4:$BU$83,64,0)&lt;&gt;"",BK$1,"")</f>
        <v/>
      </c>
      <c r="BL77" t="str">
        <f>IF(VLOOKUP($A77,Tabelle1!$A$4:$BU$83,65,0)&lt;&gt;"",BL$1,"")</f>
        <v/>
      </c>
      <c r="BM77" t="str">
        <f>IF(VLOOKUP($A77,Tabelle1!$A$4:$BU$83,66,0)&lt;&gt;"",BM$1,"")</f>
        <v/>
      </c>
      <c r="BN77" t="str">
        <f>IF(VLOOKUP($A77,Tabelle1!$A$4:$BU$83,67,0)&lt;&gt;"",BN$1,"")</f>
        <v/>
      </c>
      <c r="BO77" t="str">
        <f>IF(VLOOKUP($A77,Tabelle1!$A$4:$BU$83,68,0)&lt;&gt;"",BO$1,"")</f>
        <v/>
      </c>
      <c r="BP77" t="str">
        <f>IF(VLOOKUP($A77,Tabelle1!$A$4:$BU$83,69,0)&lt;&gt;"",BP$1,"")</f>
        <v/>
      </c>
      <c r="BQ77" t="str">
        <f>IF(VLOOKUP($A77,Tabelle1!$A$4:$BU$83,70,0)&lt;&gt;"",BQ$1,"")</f>
        <v/>
      </c>
      <c r="BR77" t="str">
        <f>IF(VLOOKUP($A77,Tabelle1!$A$4:$BU$83,71,0)&lt;&gt;"",BR$1,"")</f>
        <v/>
      </c>
      <c r="BS77" t="str">
        <f>IF(VLOOKUP($A77,Tabelle1!$A$4:$BU$83,72,0)&lt;&gt;"",BS$1,"")</f>
        <v/>
      </c>
      <c r="BT77" t="str">
        <f>IF(VLOOKUP($A77,Tabelle1!$A$4:$BU$83,73,0)&lt;&gt;"",BT$1,"")</f>
        <v/>
      </c>
    </row>
    <row r="78" spans="1:73" x14ac:dyDescent="0.2">
      <c r="A78" t="s">
        <v>970</v>
      </c>
      <c r="B78">
        <v>18</v>
      </c>
      <c r="C78" t="s">
        <v>971</v>
      </c>
      <c r="D78" t="str">
        <f>IF(VLOOKUP($A78,Tabelle1!$A$4:$BU$83,5,0)&lt;&gt;"",D$1,"")</f>
        <v/>
      </c>
      <c r="E78" t="str">
        <f>IF(VLOOKUP($A78,Tabelle1!$A$4:$BU$83,6,0)&lt;&gt;"",E$1,"")</f>
        <v/>
      </c>
      <c r="F78" t="str">
        <f>IF(VLOOKUP($A78,Tabelle1!$A$4:$BU$83,7,0)&lt;&gt;"",F$1,"")</f>
        <v/>
      </c>
      <c r="G78" t="str">
        <f>IF(VLOOKUP($A78,Tabelle1!$A$4:$BU$83,8,0)&lt;&gt;"",G$1,"")</f>
        <v/>
      </c>
      <c r="H78" t="str">
        <f>IF(VLOOKUP($A78,Tabelle1!$A$4:$BU$83,9,0)&lt;&gt;"",H$1,"")</f>
        <v/>
      </c>
      <c r="I78" t="str">
        <f>IF(VLOOKUP($A78,Tabelle1!$A$4:$BU$83,10,0)&lt;&gt;"",I$1,"")</f>
        <v xml:space="preserve">Buchweizen </v>
      </c>
      <c r="J78" t="str">
        <f>IF(VLOOKUP($A78,Tabelle1!$A$4:$BU$83,11,0)&lt;&gt;"",J$1,"")</f>
        <v/>
      </c>
      <c r="K78" t="str">
        <f>IF(VLOOKUP($A78,Tabelle1!$A$4:$BU$83,12,0)&lt;&gt;"",K$1,"")</f>
        <v/>
      </c>
      <c r="L78" t="str">
        <f>IF(VLOOKUP($A78,Tabelle1!$A$4:$BU$83,13,0)&lt;&gt;"",L$1,"")</f>
        <v/>
      </c>
      <c r="M78" t="str">
        <f>IF(VLOOKUP($A78,Tabelle1!$A$4:$BU$83,14,0)&lt;&gt;"",M$1,"")</f>
        <v/>
      </c>
      <c r="N78" t="str">
        <f>IF(VLOOKUP($A78,Tabelle1!$A$4:$BU$83,15,0)&lt;&gt;"",N$1,"")</f>
        <v/>
      </c>
      <c r="O78" t="str">
        <f>IF(VLOOKUP($A78,Tabelle1!$A$4:$BU$83,16,0)&lt;&gt;"",O$1,"")</f>
        <v/>
      </c>
      <c r="P78" t="str">
        <f>IF(VLOOKUP($A78,Tabelle1!$A$4:$BU$83,17,0)&lt;&gt;"",P$1,"")</f>
        <v/>
      </c>
      <c r="Q78" t="str">
        <f>IF(VLOOKUP($A78,Tabelle1!$A$4:$BU$83,18,0)&lt;&gt;"",Q$1,"")</f>
        <v/>
      </c>
      <c r="R78" t="str">
        <f>IF(VLOOKUP($A78,Tabelle1!$A$4:$BU$83,19,0)&lt;&gt;"",R$1,"")</f>
        <v/>
      </c>
      <c r="S78" t="str">
        <f>IF(VLOOKUP($A78,Tabelle1!$A$4:$BU$83,20,0)&lt;&gt;"",S$1,"")</f>
        <v/>
      </c>
      <c r="T78" t="str">
        <f>IF(VLOOKUP($A78,Tabelle1!$A$4:$BU$83,21,0)&lt;&gt;"",T$1,"")</f>
        <v/>
      </c>
      <c r="U78" t="str">
        <f>IF(VLOOKUP($A78,Tabelle1!$A$4:$BU$83,22,0)&lt;&gt;"",U$1,"")</f>
        <v/>
      </c>
      <c r="V78" t="str">
        <f>IF(VLOOKUP($A78,Tabelle1!$A$4:$BU$83,23,0)&lt;&gt;"",V$1,"")</f>
        <v>Kresse</v>
      </c>
      <c r="W78" t="str">
        <f>IF(VLOOKUP($A78,Tabelle1!$A$4:$BU$83,24,0)&lt;&gt;"",W$1,"")</f>
        <v/>
      </c>
      <c r="X78" t="str">
        <f>IF(VLOOKUP($A78,Tabelle1!$A$4:$BU$83,25,0)&lt;&gt;"",X$1,"")</f>
        <v/>
      </c>
      <c r="Y78" t="str">
        <f>IF(VLOOKUP($A78,Tabelle1!$A$4:$BU$83,26,0)&lt;&gt;"",Y$1,"")</f>
        <v/>
      </c>
      <c r="Z78" t="str">
        <f>IF(VLOOKUP($A78,Tabelle1!$A$4:$BU$83,27,0)&lt;&gt;"",Z$1,"")</f>
        <v/>
      </c>
      <c r="AA78" t="str">
        <f>IF(VLOOKUP($A78,Tabelle1!$A$4:$BU$83,28,0)&lt;&gt;"",AA$1,"")</f>
        <v/>
      </c>
      <c r="AB78" t="str">
        <f>IF(VLOOKUP($A78,Tabelle1!$A$4:$BU$83,29,0)&lt;&gt;"",AB$1,"")</f>
        <v/>
      </c>
      <c r="AC78" t="str">
        <f>IF(VLOOKUP($A78,Tabelle1!$A$4:$BU$83,30,0)&lt;&gt;"",AC$1,"")</f>
        <v/>
      </c>
      <c r="AD78" t="str">
        <f>IF(VLOOKUP($A78,Tabelle1!$A$4:$BU$83,31,0)&lt;&gt;"",AD$1,"")</f>
        <v/>
      </c>
      <c r="AE78" t="str">
        <f>IF(VLOOKUP($A78,Tabelle1!$A$4:$BU$83,32,0)&lt;&gt;"",AE$1,"")</f>
        <v/>
      </c>
      <c r="AF78" t="str">
        <f>IF(VLOOKUP($A78,Tabelle1!$A$4:$BU$83,33,0)&lt;&gt;"",AF$1,"")</f>
        <v/>
      </c>
      <c r="AG78" t="str">
        <f>IF(VLOOKUP($A78,Tabelle1!$A$4:$BU$83,34,0)&lt;&gt;"",AG$1,"")</f>
        <v/>
      </c>
      <c r="AH78" t="str">
        <f>IF(VLOOKUP($A78,Tabelle1!$A$4:$BU$83,35,0)&lt;&gt;"",AH$1,"")</f>
        <v/>
      </c>
      <c r="AI78" t="str">
        <f>IF(VLOOKUP($A78,Tabelle1!$A$4:$BU$83,36,0)&lt;&gt;"",AI$1,"")</f>
        <v/>
      </c>
      <c r="AJ78" t="str">
        <f>IF(VLOOKUP($A78,Tabelle1!$A$4:$BU$83,37,0)&lt;&gt;"",AJ$1,"")</f>
        <v/>
      </c>
      <c r="AK78" t="str">
        <f>IF(VLOOKUP($A78,Tabelle1!$A$4:$BU$83,38,0)&lt;&gt;"",AK$1,"")</f>
        <v/>
      </c>
      <c r="AL78" t="str">
        <f>IF(VLOOKUP($A78,Tabelle1!$A$4:$BU$83,39,0)&lt;&gt;"",AL$1,"")</f>
        <v/>
      </c>
      <c r="AM78" t="str">
        <f>IF(VLOOKUP($A78,Tabelle1!$A$4:$BU$83,40,0)&lt;&gt;"",AM$1,"")</f>
        <v/>
      </c>
      <c r="AN78" t="str">
        <f>IF(VLOOKUP($A78,Tabelle1!$A$4:$BU$83,41,0)&lt;&gt;"",AN$1,"")</f>
        <v/>
      </c>
      <c r="AO78" t="str">
        <f>IF(VLOOKUP($A78,Tabelle1!$A$4:$BU$83,42,0)&lt;&gt;"",AO$1,"")</f>
        <v/>
      </c>
      <c r="AP78" t="str">
        <f>IF(VLOOKUP($A78,Tabelle1!$A$4:$BU$83,43,0)&lt;&gt;"",AP$1,"")</f>
        <v/>
      </c>
      <c r="AQ78" t="str">
        <f>IF(VLOOKUP($A78,Tabelle1!$A$4:$BU$83,44,0)&lt;&gt;"",AQ$1,"")</f>
        <v/>
      </c>
      <c r="AR78" t="str">
        <f>IF(VLOOKUP($A78,Tabelle1!$A$4:$BU$83,45,0)&lt;&gt;"",AR$1,"")</f>
        <v/>
      </c>
      <c r="AS78" t="str">
        <f>IF(VLOOKUP($A78,Tabelle1!$A$4:$BU$83,46,0)&lt;&gt;"",AS$1,"")</f>
        <v/>
      </c>
      <c r="AT78" t="str">
        <f>IF(VLOOKUP($A78,Tabelle1!$A$4:$BU$83,47,0)&lt;&gt;"",AT$1,"")</f>
        <v>Sommerfutterraps</v>
      </c>
      <c r="AU78" t="str">
        <f>IF(VLOOKUP($A78,Tabelle1!$A$4:$BU$83,48,0)&lt;&gt;"",AU$1,"")</f>
        <v/>
      </c>
      <c r="AV78" t="str">
        <f>IF(VLOOKUP($A78,Tabelle1!$A$4:$BU$83,49,0)&lt;&gt;"",AV$1,"")</f>
        <v/>
      </c>
      <c r="AW78" t="str">
        <f>IF(VLOOKUP($A78,Tabelle1!$A$4:$BU$83,50,0)&lt;&gt;"",AW$1,"")</f>
        <v/>
      </c>
      <c r="AX78" t="str">
        <f>IF(VLOOKUP($A78,Tabelle1!$A$4:$BU$83,51,0)&lt;&gt;"",AX$1,"")</f>
        <v/>
      </c>
      <c r="AY78" t="str">
        <f>IF(VLOOKUP($A78,Tabelle1!$A$4:$BU$83,52,0)&lt;&gt;"",AY$1,"")</f>
        <v/>
      </c>
      <c r="AZ78" t="str">
        <f>IF(VLOOKUP($A78,Tabelle1!$A$4:$BU$83,53,0)&lt;&gt;"",AZ$1,"")</f>
        <v/>
      </c>
      <c r="BA78" t="str">
        <f>IF(VLOOKUP($A78,Tabelle1!$A$4:$BU$83,54,0)&lt;&gt;"",BA$1,"")</f>
        <v/>
      </c>
      <c r="BB78" t="str">
        <f>IF(VLOOKUP($A78,Tabelle1!$A$4:$BU$83,55,0)&lt;&gt;"",BB$1,"")</f>
        <v/>
      </c>
      <c r="BC78" t="str">
        <f>IF(VLOOKUP($A78,Tabelle1!$A$4:$BU$83,56,0)&lt;&gt;"",BC$1,"")</f>
        <v/>
      </c>
      <c r="BD78" t="str">
        <f>IF(VLOOKUP($A78,Tabelle1!$A$4:$BU$83,57,0)&lt;&gt;"",BD$1,"")</f>
        <v/>
      </c>
      <c r="BE78" t="str">
        <f>IF(VLOOKUP($A78,Tabelle1!$A$4:$BU$83,58,0)&lt;&gt;"",BE$1,"")</f>
        <v/>
      </c>
      <c r="BF78" t="str">
        <f>IF(VLOOKUP($A78,Tabelle1!$A$4:$BU$83,59,0)&lt;&gt;"",BF$1,"")</f>
        <v/>
      </c>
      <c r="BG78" t="str">
        <f>IF(VLOOKUP($A78,Tabelle1!$A$4:$BU$83,60,0)&lt;&gt;"",BG$1,"")</f>
        <v/>
      </c>
      <c r="BH78" t="str">
        <f>IF(VLOOKUP($A78,Tabelle1!$A$4:$BU$83,61,0)&lt;&gt;"",BH$1,"")</f>
        <v/>
      </c>
      <c r="BI78" t="str">
        <f>IF(VLOOKUP($A78,Tabelle1!$A$4:$BU$83,62,0)&lt;&gt;"",BI$1,"")</f>
        <v/>
      </c>
      <c r="BJ78" t="str">
        <f>IF(VLOOKUP($A78,Tabelle1!$A$4:$BU$83,63,0)&lt;&gt;"",BJ$1,"")</f>
        <v/>
      </c>
      <c r="BK78" t="str">
        <f>IF(VLOOKUP($A78,Tabelle1!$A$4:$BU$83,64,0)&lt;&gt;"",BK$1,"")</f>
        <v/>
      </c>
      <c r="BL78" t="str">
        <f>IF(VLOOKUP($A78,Tabelle1!$A$4:$BU$83,65,0)&lt;&gt;"",BL$1,"")</f>
        <v/>
      </c>
      <c r="BM78" t="str">
        <f>IF(VLOOKUP($A78,Tabelle1!$A$4:$BU$83,66,0)&lt;&gt;"",BM$1,"")</f>
        <v/>
      </c>
      <c r="BN78" t="str">
        <f>IF(VLOOKUP($A78,Tabelle1!$A$4:$BU$83,67,0)&lt;&gt;"",BN$1,"")</f>
        <v/>
      </c>
      <c r="BO78" t="str">
        <f>IF(VLOOKUP($A78,Tabelle1!$A$4:$BU$83,68,0)&lt;&gt;"",BO$1,"")</f>
        <v/>
      </c>
      <c r="BP78" t="str">
        <f>IF(VLOOKUP($A78,Tabelle1!$A$4:$BU$83,69,0)&lt;&gt;"",BP$1,"")</f>
        <v/>
      </c>
      <c r="BQ78" t="str">
        <f>IF(VLOOKUP($A78,Tabelle1!$A$4:$BU$83,70,0)&lt;&gt;"",BQ$1,"")</f>
        <v/>
      </c>
      <c r="BR78" t="str">
        <f>IF(VLOOKUP($A78,Tabelle1!$A$4:$BU$83,71,0)&lt;&gt;"",BR$1,"")</f>
        <v/>
      </c>
      <c r="BS78" t="str">
        <f>IF(VLOOKUP($A78,Tabelle1!$A$4:$BU$83,72,0)&lt;&gt;"",BS$1,"")</f>
        <v/>
      </c>
      <c r="BT78" t="str">
        <f>IF(VLOOKUP($A78,Tabelle1!$A$4:$BU$83,73,0)&lt;&gt;"",BT$1,"")</f>
        <v/>
      </c>
    </row>
    <row r="79" spans="1:73" x14ac:dyDescent="0.2">
      <c r="A79" t="s">
        <v>969</v>
      </c>
      <c r="B79">
        <v>27.5</v>
      </c>
      <c r="C79" t="s">
        <v>971</v>
      </c>
      <c r="D79" t="str">
        <f>IF(VLOOKUP($A79,Tabelle1!$A$4:$BU$83,5,0)&lt;&gt;"",D$1,"")</f>
        <v/>
      </c>
      <c r="E79" t="str">
        <f>IF(VLOOKUP($A79,Tabelle1!$A$4:$BU$83,6,0)&lt;&gt;"",E$1,"")</f>
        <v/>
      </c>
      <c r="F79" t="str">
        <f>IF(VLOOKUP($A79,Tabelle1!$A$4:$BU$83,7,0)&lt;&gt;"",F$1,"")</f>
        <v/>
      </c>
      <c r="G79" t="str">
        <f>IF(VLOOKUP($A79,Tabelle1!$A$4:$BU$83,8,0)&lt;&gt;"",G$1,"")</f>
        <v/>
      </c>
      <c r="H79" t="str">
        <f>IF(VLOOKUP($A79,Tabelle1!$A$4:$BU$83,9,0)&lt;&gt;"",H$1,"")</f>
        <v/>
      </c>
      <c r="I79" t="str">
        <f>IF(VLOOKUP($A79,Tabelle1!$A$4:$BU$83,10,0)&lt;&gt;"",I$1,"")</f>
        <v/>
      </c>
      <c r="J79" t="str">
        <f>IF(VLOOKUP($A79,Tabelle1!$A$4:$BU$83,11,0)&lt;&gt;"",J$1,"")</f>
        <v/>
      </c>
      <c r="K79" t="str">
        <f>IF(VLOOKUP($A79,Tabelle1!$A$4:$BU$83,12,0)&lt;&gt;"",K$1,"")</f>
        <v/>
      </c>
      <c r="L79" t="str">
        <f>IF(VLOOKUP($A79,Tabelle1!$A$4:$BU$83,13,0)&lt;&gt;"",L$1,"")</f>
        <v/>
      </c>
      <c r="M79" t="str">
        <f>IF(VLOOKUP($A79,Tabelle1!$A$4:$BU$83,14,0)&lt;&gt;"",M$1,"")</f>
        <v/>
      </c>
      <c r="N79" t="str">
        <f>IF(VLOOKUP($A79,Tabelle1!$A$4:$BU$83,15,0)&lt;&gt;"",N$1,"")</f>
        <v/>
      </c>
      <c r="O79" t="str">
        <f>IF(VLOOKUP($A79,Tabelle1!$A$4:$BU$83,16,0)&lt;&gt;"",O$1,"")</f>
        <v/>
      </c>
      <c r="P79" t="str">
        <f>IF(VLOOKUP($A79,Tabelle1!$A$4:$BU$83,17,0)&lt;&gt;"",P$1,"")</f>
        <v/>
      </c>
      <c r="Q79" t="str">
        <f>IF(VLOOKUP($A79,Tabelle1!$A$4:$BU$83,18,0)&lt;&gt;"",Q$1,"")</f>
        <v/>
      </c>
      <c r="R79" t="str">
        <f>IF(VLOOKUP($A79,Tabelle1!$A$4:$BU$83,19,0)&lt;&gt;"",R$1,"")</f>
        <v/>
      </c>
      <c r="S79" t="str">
        <f>IF(VLOOKUP($A79,Tabelle1!$A$4:$BU$83,20,0)&lt;&gt;"",S$1,"")</f>
        <v/>
      </c>
      <c r="T79" t="str">
        <f>IF(VLOOKUP($A79,Tabelle1!$A$4:$BU$83,21,0)&lt;&gt;"",T$1,"")</f>
        <v>Inkarnatklee</v>
      </c>
      <c r="U79" t="str">
        <f>IF(VLOOKUP($A79,Tabelle1!$A$4:$BU$83,22,0)&lt;&gt;"",U$1,"")</f>
        <v/>
      </c>
      <c r="V79" t="str">
        <f>IF(VLOOKUP($A79,Tabelle1!$A$4:$BU$83,23,0)&lt;&gt;"",V$1,"")</f>
        <v/>
      </c>
      <c r="W79" t="str">
        <f>IF(VLOOKUP($A79,Tabelle1!$A$4:$BU$83,24,0)&lt;&gt;"",W$1,"")</f>
        <v/>
      </c>
      <c r="X79" t="str">
        <f>IF(VLOOKUP($A79,Tabelle1!$A$4:$BU$83,25,0)&lt;&gt;"",X$1,"")</f>
        <v/>
      </c>
      <c r="Y79" t="str">
        <f>IF(VLOOKUP($A79,Tabelle1!$A$4:$BU$83,26,0)&lt;&gt;"",Y$1,"")</f>
        <v/>
      </c>
      <c r="Z79" t="str">
        <f>IF(VLOOKUP($A79,Tabelle1!$A$4:$BU$83,27,0)&lt;&gt;"",Z$1,"")</f>
        <v/>
      </c>
      <c r="AA79" t="str">
        <f>IF(VLOOKUP($A79,Tabelle1!$A$4:$BU$83,28,0)&lt;&gt;"",AA$1,"")</f>
        <v/>
      </c>
      <c r="AB79" t="str">
        <f>IF(VLOOKUP($A79,Tabelle1!$A$4:$BU$83,29,0)&lt;&gt;"",AB$1,"")</f>
        <v>Meliorationsrettich</v>
      </c>
      <c r="AC79" t="str">
        <f>IF(VLOOKUP($A79,Tabelle1!$A$4:$BU$83,30,0)&lt;&gt;"",AC$1,"")</f>
        <v/>
      </c>
      <c r="AD79" t="str">
        <f>IF(VLOOKUP($A79,Tabelle1!$A$4:$BU$83,31,0)&lt;&gt;"",AD$1,"")</f>
        <v/>
      </c>
      <c r="AE79" t="str">
        <f>IF(VLOOKUP($A79,Tabelle1!$A$4:$BU$83,32,0)&lt;&gt;"",AE$1,"")</f>
        <v>Ölrettich</v>
      </c>
      <c r="AF79" t="str">
        <f>IF(VLOOKUP($A79,Tabelle1!$A$4:$BU$83,33,0)&lt;&gt;"",AF$1,"")</f>
        <v/>
      </c>
      <c r="AG79" t="str">
        <f>IF(VLOOKUP($A79,Tabelle1!$A$4:$BU$83,34,0)&lt;&gt;"",AG$1,"")</f>
        <v/>
      </c>
      <c r="AH79" t="str">
        <f>IF(VLOOKUP($A79,Tabelle1!$A$4:$BU$83,35,0)&lt;&gt;"",AH$1,"")</f>
        <v>Phazelie</v>
      </c>
      <c r="AI79" t="str">
        <f>IF(VLOOKUP($A79,Tabelle1!$A$4:$BU$83,36,0)&lt;&gt;"",AI$1,"")</f>
        <v/>
      </c>
      <c r="AJ79" t="str">
        <f>IF(VLOOKUP($A79,Tabelle1!$A$4:$BU$83,37,0)&lt;&gt;"",AJ$1,"")</f>
        <v/>
      </c>
      <c r="AK79" t="str">
        <f>IF(VLOOKUP($A79,Tabelle1!$A$4:$BU$83,38,0)&lt;&gt;"",AK$1,"")</f>
        <v/>
      </c>
      <c r="AL79" t="str">
        <f>IF(VLOOKUP($A79,Tabelle1!$A$4:$BU$83,39,0)&lt;&gt;"",AL$1,"")</f>
        <v/>
      </c>
      <c r="AM79" t="str">
        <f>IF(VLOOKUP($A79,Tabelle1!$A$4:$BU$83,40,0)&lt;&gt;"",AM$1,"")</f>
        <v>Saatwicke / Sommerwicke</v>
      </c>
      <c r="AN79" t="str">
        <f>IF(VLOOKUP($A79,Tabelle1!$A$4:$BU$83,41,0)&lt;&gt;"",AN$1,"")</f>
        <v/>
      </c>
      <c r="AO79" t="str">
        <f>IF(VLOOKUP($A79,Tabelle1!$A$4:$BU$83,42,0)&lt;&gt;"",AO$1,"")</f>
        <v/>
      </c>
      <c r="AP79" t="str">
        <f>IF(VLOOKUP($A79,Tabelle1!$A$4:$BU$83,43,0)&lt;&gt;"",AP$1,"")</f>
        <v/>
      </c>
      <c r="AQ79" t="str">
        <f>IF(VLOOKUP($A79,Tabelle1!$A$4:$BU$83,44,0)&lt;&gt;"",AQ$1,"")</f>
        <v/>
      </c>
      <c r="AR79" t="str">
        <f>IF(VLOOKUP($A79,Tabelle1!$A$4:$BU$83,45,0)&lt;&gt;"",AR$1,"")</f>
        <v/>
      </c>
      <c r="AS79" t="str">
        <f>IF(VLOOKUP($A79,Tabelle1!$A$4:$BU$83,46,0)&lt;&gt;"",AS$1,"")</f>
        <v/>
      </c>
      <c r="AT79" t="str">
        <f>IF(VLOOKUP($A79,Tabelle1!$A$4:$BU$83,47,0)&lt;&gt;"",AT$1,"")</f>
        <v/>
      </c>
      <c r="AU79" t="str">
        <f>IF(VLOOKUP($A79,Tabelle1!$A$4:$BU$83,48,0)&lt;&gt;"",AU$1,"")</f>
        <v>Sonnenblume</v>
      </c>
      <c r="AV79" t="str">
        <f>IF(VLOOKUP($A79,Tabelle1!$A$4:$BU$83,49,0)&lt;&gt;"",AV$1,"")</f>
        <v/>
      </c>
      <c r="AW79" t="str">
        <f>IF(VLOOKUP($A79,Tabelle1!$A$4:$BU$83,50,0)&lt;&gt;"",AW$1,"")</f>
        <v/>
      </c>
      <c r="AX79" t="str">
        <f>IF(VLOOKUP($A79,Tabelle1!$A$4:$BU$83,51,0)&lt;&gt;"",AX$1,"")</f>
        <v/>
      </c>
      <c r="AY79" t="str">
        <f>IF(VLOOKUP($A79,Tabelle1!$A$4:$BU$83,52,0)&lt;&gt;"",AY$1,"")</f>
        <v/>
      </c>
      <c r="AZ79" t="str">
        <f>IF(VLOOKUP($A79,Tabelle1!$A$4:$BU$83,53,0)&lt;&gt;"",AZ$1,"")</f>
        <v/>
      </c>
      <c r="BA79" t="str">
        <f>IF(VLOOKUP($A79,Tabelle1!$A$4:$BU$83,54,0)&lt;&gt;"",BA$1,"")</f>
        <v/>
      </c>
      <c r="BB79" t="str">
        <f>IF(VLOOKUP($A79,Tabelle1!$A$4:$BU$83,55,0)&lt;&gt;"",BB$1,"")</f>
        <v/>
      </c>
      <c r="BC79" t="str">
        <f>IF(VLOOKUP($A79,Tabelle1!$A$4:$BU$83,56,0)&lt;&gt;"",BC$1,"")</f>
        <v/>
      </c>
      <c r="BD79" t="str">
        <f>IF(VLOOKUP($A79,Tabelle1!$A$4:$BU$83,57,0)&lt;&gt;"",BD$1,"")</f>
        <v/>
      </c>
      <c r="BE79" t="str">
        <f>IF(VLOOKUP($A79,Tabelle1!$A$4:$BU$83,58,0)&lt;&gt;"",BE$1,"")</f>
        <v/>
      </c>
      <c r="BF79" t="str">
        <f>IF(VLOOKUP($A79,Tabelle1!$A$4:$BU$83,59,0)&lt;&gt;"",BF$1,"")</f>
        <v/>
      </c>
      <c r="BG79" t="str">
        <f>IF(VLOOKUP($A79,Tabelle1!$A$4:$BU$83,60,0)&lt;&gt;"",BG$1,"")</f>
        <v/>
      </c>
      <c r="BH79" t="str">
        <f>IF(VLOOKUP($A79,Tabelle1!$A$4:$BU$83,61,0)&lt;&gt;"",BH$1,"")</f>
        <v/>
      </c>
      <c r="BI79" t="str">
        <f>IF(VLOOKUP($A79,Tabelle1!$A$4:$BU$83,62,0)&lt;&gt;"",BI$1,"")</f>
        <v/>
      </c>
      <c r="BJ79" t="str">
        <f>IF(VLOOKUP($A79,Tabelle1!$A$4:$BU$83,63,0)&lt;&gt;"",BJ$1,"")</f>
        <v/>
      </c>
      <c r="BK79" t="str">
        <f>IF(VLOOKUP($A79,Tabelle1!$A$4:$BU$83,64,0)&lt;&gt;"",BK$1,"")</f>
        <v/>
      </c>
      <c r="BL79" t="str">
        <f>IF(VLOOKUP($A79,Tabelle1!$A$4:$BU$83,65,0)&lt;&gt;"",BL$1,"")</f>
        <v/>
      </c>
      <c r="BM79" t="str">
        <f>IF(VLOOKUP($A79,Tabelle1!$A$4:$BU$83,66,0)&lt;&gt;"",BM$1,"")</f>
        <v/>
      </c>
      <c r="BN79" t="str">
        <f>IF(VLOOKUP($A79,Tabelle1!$A$4:$BU$83,67,0)&lt;&gt;"",BN$1,"")</f>
        <v/>
      </c>
      <c r="BO79" t="str">
        <f>IF(VLOOKUP($A79,Tabelle1!$A$4:$BU$83,68,0)&lt;&gt;"",BO$1,"")</f>
        <v/>
      </c>
      <c r="BP79" t="str">
        <f>IF(VLOOKUP($A79,Tabelle1!$A$4:$BU$83,69,0)&lt;&gt;"",BP$1,"")</f>
        <v/>
      </c>
      <c r="BQ79" t="str">
        <f>IF(VLOOKUP($A79,Tabelle1!$A$4:$BU$83,70,0)&lt;&gt;"",BQ$1,"")</f>
        <v/>
      </c>
      <c r="BR79" t="str">
        <f>IF(VLOOKUP($A79,Tabelle1!$A$4:$BU$83,71,0)&lt;&gt;"",BR$1,"")</f>
        <v/>
      </c>
      <c r="BS79" t="str">
        <f>IF(VLOOKUP($A79,Tabelle1!$A$4:$BU$83,72,0)&lt;&gt;"",BS$1,"")</f>
        <v/>
      </c>
      <c r="BT79" t="str">
        <f>IF(VLOOKUP($A79,Tabelle1!$A$4:$BU$83,73,0)&lt;&gt;"",BT$1,"")</f>
        <v/>
      </c>
    </row>
  </sheetData>
  <sheetProtection algorithmName="SHA-512" hashValue="2BpAkQir9rC/mZ19VFFIZPy8LH1q8MfwOaFL+rG1OpwpKG0BTqZlQHostGlRa3ObJ0OIRrfAPzCxbqu/oJvSDQ==" saltValue="V75ndX5WkdW4lkCp6+fipA==" spinCount="100000" sheet="1" objects="1" scenarios="1"/>
  <pageMargins left="0.7" right="0.7" top="0.78740157499999996" bottom="0.78740157499999996"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C9AAD-C436-4ACB-A2D4-D28A3E08B675}">
  <dimension ref="A1:CA71"/>
  <sheetViews>
    <sheetView topLeftCell="A40" zoomScale="90" zoomScaleNormal="90" workbookViewId="0">
      <selection sqref="A1:H1"/>
    </sheetView>
  </sheetViews>
  <sheetFormatPr baseColWidth="10" defaultRowHeight="14.25" x14ac:dyDescent="0.2"/>
  <cols>
    <col min="1" max="1" width="42.25" bestFit="1" customWidth="1"/>
    <col min="2" max="2" width="34.5" customWidth="1"/>
    <col min="3" max="3" width="11.75" customWidth="1"/>
    <col min="5" max="5" width="38" customWidth="1"/>
    <col min="6" max="6" width="24.875" customWidth="1"/>
    <col min="7" max="7" width="23.625" customWidth="1"/>
    <col min="9" max="9" width="11.125" customWidth="1"/>
    <col min="12" max="12" width="17.625" customWidth="1"/>
    <col min="13" max="13" width="18.5" customWidth="1"/>
    <col min="14" max="14" width="17.375" customWidth="1"/>
    <col min="15" max="15" width="15.125" customWidth="1"/>
    <col min="16" max="16" width="11.75" customWidth="1"/>
    <col min="17" max="17" width="45.375" customWidth="1"/>
    <col min="18" max="18" width="43.5" customWidth="1"/>
    <col min="19" max="19" width="53.25" customWidth="1"/>
    <col min="20" max="20" width="43.625" customWidth="1"/>
    <col min="21" max="21" width="43.375" customWidth="1"/>
    <col min="22" max="22" width="47.375" customWidth="1"/>
    <col min="23" max="23" width="42.5" customWidth="1"/>
    <col min="24" max="24" width="41.5" customWidth="1"/>
    <col min="25" max="25" width="44.75" customWidth="1"/>
    <col min="26" max="26" width="42.375" customWidth="1"/>
    <col min="27" max="27" width="28.625" customWidth="1"/>
    <col min="28" max="28" width="31.75" customWidth="1"/>
    <col min="29" max="29" width="33.5" customWidth="1"/>
    <col min="30" max="30" width="36.625" customWidth="1"/>
    <col min="31" max="31" width="52" customWidth="1"/>
    <col min="32" max="32" width="43.5" customWidth="1"/>
    <col min="33" max="33" width="49.875" customWidth="1"/>
    <col min="34" max="34" width="45.375" customWidth="1"/>
    <col min="35" max="35" width="29" customWidth="1"/>
    <col min="36" max="36" width="26.125" customWidth="1"/>
    <col min="37" max="37" width="29.75" customWidth="1"/>
    <col min="38" max="38" width="71.375" customWidth="1"/>
    <col min="39" max="39" width="38.875" customWidth="1"/>
    <col min="40" max="40" width="42.625" customWidth="1"/>
    <col min="41" max="41" width="22.5" customWidth="1"/>
    <col min="42" max="42" width="17.25" customWidth="1"/>
    <col min="43" max="43" width="22.875" customWidth="1"/>
    <col min="44" max="44" width="60.875" customWidth="1"/>
    <col min="45" max="45" width="37.375" customWidth="1"/>
    <col min="46" max="46" width="42" customWidth="1"/>
    <col min="47" max="47" width="39.5" customWidth="1"/>
    <col min="48" max="48" width="37.375" customWidth="1"/>
    <col min="49" max="49" width="34.125" customWidth="1"/>
    <col min="50" max="50" width="36.125" customWidth="1"/>
    <col min="51" max="51" width="21.75" customWidth="1"/>
    <col min="52" max="52" width="20.25" customWidth="1"/>
    <col min="53" max="53" width="16.125" customWidth="1"/>
    <col min="54" max="54" width="13.25" customWidth="1"/>
    <col min="55" max="55" width="19.75" customWidth="1"/>
    <col min="56" max="56" width="13" customWidth="1"/>
    <col min="57" max="57" width="27.875" customWidth="1"/>
    <col min="58" max="58" width="17.875" customWidth="1"/>
    <col min="59" max="59" width="28.625" customWidth="1"/>
    <col min="60" max="60" width="17.125" customWidth="1"/>
    <col min="61" max="61" width="25.25" customWidth="1"/>
    <col min="62" max="62" width="11.25" customWidth="1"/>
    <col min="63" max="63" width="16" customWidth="1"/>
    <col min="64" max="64" width="25.125" customWidth="1"/>
    <col min="65" max="65" width="15.75" customWidth="1"/>
    <col min="66" max="66" width="16.625" customWidth="1"/>
    <col min="67" max="67" width="17.875" customWidth="1"/>
    <col min="68" max="68" width="17" customWidth="1"/>
    <col min="69" max="69" width="31" customWidth="1"/>
    <col min="70" max="70" width="37.5" customWidth="1"/>
    <col min="79" max="79" width="22.75" bestFit="1" customWidth="1"/>
  </cols>
  <sheetData>
    <row r="1" spans="1:79" x14ac:dyDescent="0.2">
      <c r="A1" t="s">
        <v>958</v>
      </c>
      <c r="B1" t="s">
        <v>364</v>
      </c>
      <c r="C1" t="s">
        <v>365</v>
      </c>
      <c r="D1" t="s">
        <v>447</v>
      </c>
      <c r="E1" t="s">
        <v>875</v>
      </c>
      <c r="F1" t="s">
        <v>442</v>
      </c>
      <c r="G1" t="s">
        <v>53</v>
      </c>
      <c r="H1" t="s">
        <v>55</v>
      </c>
      <c r="I1" t="s">
        <v>367</v>
      </c>
      <c r="J1" t="s">
        <v>56</v>
      </c>
      <c r="K1" t="s">
        <v>784</v>
      </c>
      <c r="L1" t="s">
        <v>789</v>
      </c>
      <c r="M1" t="s">
        <v>791</v>
      </c>
      <c r="N1" t="s">
        <v>793</v>
      </c>
      <c r="O1" t="s">
        <v>872</v>
      </c>
      <c r="P1" t="s">
        <v>873</v>
      </c>
      <c r="Q1" t="s">
        <v>428</v>
      </c>
      <c r="R1" t="s">
        <v>934</v>
      </c>
      <c r="S1" t="s">
        <v>521</v>
      </c>
      <c r="T1" t="s">
        <v>431</v>
      </c>
      <c r="U1" t="s">
        <v>734</v>
      </c>
      <c r="V1" t="s">
        <v>45</v>
      </c>
      <c r="W1" t="s">
        <v>46</v>
      </c>
      <c r="X1" t="s">
        <v>432</v>
      </c>
      <c r="Y1" t="s">
        <v>935</v>
      </c>
      <c r="Z1" t="s">
        <v>739</v>
      </c>
      <c r="AA1" t="s">
        <v>81</v>
      </c>
      <c r="AB1" t="s">
        <v>936</v>
      </c>
      <c r="AC1" t="s">
        <v>744</v>
      </c>
      <c r="AD1" t="s">
        <v>879</v>
      </c>
      <c r="AE1" t="s">
        <v>82</v>
      </c>
      <c r="AF1" t="s">
        <v>83</v>
      </c>
      <c r="AG1" t="s">
        <v>84</v>
      </c>
      <c r="AH1" t="s">
        <v>361</v>
      </c>
      <c r="AI1" t="s">
        <v>85</v>
      </c>
      <c r="AJ1" t="s">
        <v>86</v>
      </c>
      <c r="AK1" t="s">
        <v>435</v>
      </c>
      <c r="AL1" t="s">
        <v>51</v>
      </c>
      <c r="AM1" t="s">
        <v>57</v>
      </c>
      <c r="AN1" t="s">
        <v>937</v>
      </c>
      <c r="AO1" t="s">
        <v>414</v>
      </c>
      <c r="AP1" t="s">
        <v>355</v>
      </c>
      <c r="AQ1" t="s">
        <v>356</v>
      </c>
      <c r="AR1" t="s">
        <v>723</v>
      </c>
      <c r="AS1" t="s">
        <v>724</v>
      </c>
      <c r="AT1" t="s">
        <v>725</v>
      </c>
      <c r="AU1" t="s">
        <v>726</v>
      </c>
      <c r="AV1" t="s">
        <v>727</v>
      </c>
      <c r="AW1" t="s">
        <v>424</v>
      </c>
      <c r="AX1" t="s">
        <v>729</v>
      </c>
      <c r="AY1" t="s">
        <v>425</v>
      </c>
      <c r="AZ1" t="s">
        <v>706</v>
      </c>
      <c r="BA1" t="s">
        <v>506</v>
      </c>
      <c r="BB1" t="s">
        <v>511</v>
      </c>
      <c r="BC1" t="s">
        <v>709</v>
      </c>
      <c r="BD1" t="s">
        <v>349</v>
      </c>
      <c r="BE1" t="s">
        <v>507</v>
      </c>
      <c r="BF1" t="s">
        <v>350</v>
      </c>
      <c r="BG1" t="s">
        <v>508</v>
      </c>
      <c r="BH1" t="s">
        <v>712</v>
      </c>
      <c r="BI1" t="s">
        <v>512</v>
      </c>
      <c r="BJ1" t="s">
        <v>509</v>
      </c>
      <c r="BK1" t="s">
        <v>714</v>
      </c>
      <c r="BL1" t="s">
        <v>716</v>
      </c>
      <c r="BM1" t="s">
        <v>929</v>
      </c>
      <c r="BN1" t="s">
        <v>930</v>
      </c>
      <c r="BO1" t="s">
        <v>931</v>
      </c>
      <c r="BP1" t="s">
        <v>932</v>
      </c>
      <c r="BQ1" t="s">
        <v>500</v>
      </c>
      <c r="BR1" t="s">
        <v>502</v>
      </c>
      <c r="BS1" t="s">
        <v>963</v>
      </c>
      <c r="BT1" t="s">
        <v>964</v>
      </c>
      <c r="BU1" t="s">
        <v>965</v>
      </c>
      <c r="BV1" t="s">
        <v>966</v>
      </c>
      <c r="BW1" t="s">
        <v>967</v>
      </c>
      <c r="BX1" t="s">
        <v>972</v>
      </c>
      <c r="BY1" t="s">
        <v>968</v>
      </c>
      <c r="BZ1" t="s">
        <v>970</v>
      </c>
      <c r="CA1" t="s">
        <v>969</v>
      </c>
    </row>
    <row r="2" spans="1:79" x14ac:dyDescent="0.2">
      <c r="A2" t="s">
        <v>63</v>
      </c>
      <c r="B2" t="s">
        <v>946</v>
      </c>
      <c r="C2" t="s">
        <v>946</v>
      </c>
      <c r="D2" t="s">
        <v>946</v>
      </c>
      <c r="E2" t="s">
        <v>946</v>
      </c>
      <c r="F2" t="s">
        <v>946</v>
      </c>
      <c r="G2" t="s">
        <v>946</v>
      </c>
      <c r="H2" t="s">
        <v>946</v>
      </c>
      <c r="I2" t="s">
        <v>946</v>
      </c>
      <c r="J2" t="s">
        <v>946</v>
      </c>
      <c r="K2" t="s">
        <v>946</v>
      </c>
      <c r="L2" t="s">
        <v>946</v>
      </c>
      <c r="M2" t="s">
        <v>946</v>
      </c>
      <c r="N2" t="s">
        <v>946</v>
      </c>
      <c r="O2" t="s">
        <v>946</v>
      </c>
      <c r="P2" t="s">
        <v>946</v>
      </c>
      <c r="Q2" t="s">
        <v>946</v>
      </c>
      <c r="R2" t="s">
        <v>946</v>
      </c>
      <c r="S2" t="s">
        <v>946</v>
      </c>
      <c r="T2" t="s">
        <v>946</v>
      </c>
      <c r="U2" t="s">
        <v>946</v>
      </c>
      <c r="V2" t="s">
        <v>946</v>
      </c>
      <c r="W2" t="s">
        <v>946</v>
      </c>
      <c r="X2" t="s">
        <v>946</v>
      </c>
      <c r="Y2" t="s">
        <v>946</v>
      </c>
      <c r="Z2" t="s">
        <v>946</v>
      </c>
      <c r="AA2" t="s">
        <v>946</v>
      </c>
      <c r="AB2" t="s">
        <v>946</v>
      </c>
      <c r="AC2" t="s">
        <v>946</v>
      </c>
      <c r="AD2" t="s">
        <v>946</v>
      </c>
      <c r="AE2" t="s">
        <v>946</v>
      </c>
      <c r="AF2" t="s">
        <v>946</v>
      </c>
      <c r="AG2" t="s">
        <v>946</v>
      </c>
      <c r="AH2" t="s">
        <v>946</v>
      </c>
      <c r="AI2" t="s">
        <v>946</v>
      </c>
      <c r="AJ2" t="s">
        <v>946</v>
      </c>
      <c r="AK2" t="s">
        <v>946</v>
      </c>
      <c r="AL2" t="s">
        <v>946</v>
      </c>
      <c r="AM2" t="s">
        <v>946</v>
      </c>
      <c r="AN2" t="s">
        <v>946</v>
      </c>
      <c r="AO2" t="s">
        <v>946</v>
      </c>
      <c r="AP2" t="s">
        <v>946</v>
      </c>
      <c r="AQ2" t="s">
        <v>946</v>
      </c>
      <c r="AR2" t="s">
        <v>946</v>
      </c>
      <c r="AS2" t="s">
        <v>946</v>
      </c>
      <c r="AT2" t="s">
        <v>946</v>
      </c>
      <c r="AU2" t="s">
        <v>946</v>
      </c>
      <c r="AV2" t="s">
        <v>946</v>
      </c>
      <c r="AW2" t="s">
        <v>946</v>
      </c>
      <c r="AX2" t="s">
        <v>946</v>
      </c>
      <c r="AY2" t="s">
        <v>946</v>
      </c>
      <c r="AZ2" t="s">
        <v>63</v>
      </c>
      <c r="BA2" t="s">
        <v>63</v>
      </c>
      <c r="BB2" t="s">
        <v>946</v>
      </c>
      <c r="BC2" t="s">
        <v>946</v>
      </c>
      <c r="BD2" t="s">
        <v>63</v>
      </c>
      <c r="BE2" t="s">
        <v>946</v>
      </c>
      <c r="BF2" t="s">
        <v>946</v>
      </c>
      <c r="BG2" t="s">
        <v>946</v>
      </c>
      <c r="BH2" t="s">
        <v>946</v>
      </c>
      <c r="BI2" t="s">
        <v>946</v>
      </c>
      <c r="BJ2" t="s">
        <v>946</v>
      </c>
      <c r="BK2" t="s">
        <v>946</v>
      </c>
      <c r="BL2" t="s">
        <v>946</v>
      </c>
      <c r="BM2" t="s">
        <v>946</v>
      </c>
      <c r="BN2" t="s">
        <v>946</v>
      </c>
      <c r="BO2" t="s">
        <v>946</v>
      </c>
      <c r="BP2" t="s">
        <v>946</v>
      </c>
      <c r="BQ2" t="s">
        <v>946</v>
      </c>
      <c r="BR2" t="s">
        <v>946</v>
      </c>
      <c r="BS2" t="s">
        <v>946</v>
      </c>
      <c r="BT2" t="s">
        <v>946</v>
      </c>
      <c r="BU2" t="s">
        <v>946</v>
      </c>
      <c r="BV2" t="s">
        <v>946</v>
      </c>
      <c r="BW2" t="s">
        <v>63</v>
      </c>
      <c r="BX2" t="s">
        <v>946</v>
      </c>
      <c r="BY2" t="s">
        <v>946</v>
      </c>
      <c r="BZ2" t="s">
        <v>946</v>
      </c>
      <c r="CA2" t="s">
        <v>946</v>
      </c>
    </row>
    <row r="3" spans="1:79" x14ac:dyDescent="0.2">
      <c r="A3" t="s">
        <v>271</v>
      </c>
      <c r="B3" t="s">
        <v>946</v>
      </c>
      <c r="C3" t="s">
        <v>946</v>
      </c>
      <c r="D3" t="s">
        <v>946</v>
      </c>
      <c r="E3" t="s">
        <v>946</v>
      </c>
      <c r="F3" t="s">
        <v>946</v>
      </c>
      <c r="G3" t="s">
        <v>946</v>
      </c>
      <c r="H3" t="s">
        <v>946</v>
      </c>
      <c r="I3" t="s">
        <v>946</v>
      </c>
      <c r="J3" t="s">
        <v>946</v>
      </c>
      <c r="K3" t="s">
        <v>946</v>
      </c>
      <c r="L3" t="s">
        <v>946</v>
      </c>
      <c r="M3" t="s">
        <v>946</v>
      </c>
      <c r="N3" t="s">
        <v>946</v>
      </c>
      <c r="O3" t="s">
        <v>946</v>
      </c>
      <c r="P3" t="s">
        <v>946</v>
      </c>
      <c r="Q3" t="s">
        <v>946</v>
      </c>
      <c r="R3" t="s">
        <v>946</v>
      </c>
      <c r="S3" t="s">
        <v>946</v>
      </c>
      <c r="T3" t="s">
        <v>946</v>
      </c>
      <c r="U3" t="s">
        <v>946</v>
      </c>
      <c r="V3" t="s">
        <v>946</v>
      </c>
      <c r="W3" t="s">
        <v>946</v>
      </c>
      <c r="X3" t="s">
        <v>946</v>
      </c>
      <c r="Y3" t="s">
        <v>946</v>
      </c>
      <c r="Z3" t="s">
        <v>946</v>
      </c>
      <c r="AA3" t="s">
        <v>946</v>
      </c>
      <c r="AB3" t="s">
        <v>946</v>
      </c>
      <c r="AC3" t="s">
        <v>271</v>
      </c>
      <c r="AD3" t="s">
        <v>271</v>
      </c>
      <c r="AE3" t="s">
        <v>946</v>
      </c>
      <c r="AF3" t="s">
        <v>946</v>
      </c>
      <c r="AG3" t="s">
        <v>946</v>
      </c>
      <c r="AH3" t="s">
        <v>946</v>
      </c>
      <c r="AI3" t="s">
        <v>946</v>
      </c>
      <c r="AJ3" t="s">
        <v>946</v>
      </c>
      <c r="AK3" t="s">
        <v>946</v>
      </c>
      <c r="AL3" t="s">
        <v>946</v>
      </c>
      <c r="AM3" t="s">
        <v>946</v>
      </c>
      <c r="AN3" t="s">
        <v>946</v>
      </c>
      <c r="AO3" t="s">
        <v>946</v>
      </c>
      <c r="AP3" t="s">
        <v>946</v>
      </c>
      <c r="AQ3" t="s">
        <v>946</v>
      </c>
      <c r="AR3" t="s">
        <v>946</v>
      </c>
      <c r="AS3" t="s">
        <v>946</v>
      </c>
      <c r="AT3" t="s">
        <v>946</v>
      </c>
      <c r="AU3" t="s">
        <v>946</v>
      </c>
      <c r="AV3" t="s">
        <v>946</v>
      </c>
      <c r="AW3" t="s">
        <v>946</v>
      </c>
      <c r="AX3" t="s">
        <v>946</v>
      </c>
      <c r="AY3" t="s">
        <v>946</v>
      </c>
      <c r="AZ3" t="s">
        <v>946</v>
      </c>
      <c r="BA3" t="s">
        <v>946</v>
      </c>
      <c r="BB3" t="s">
        <v>946</v>
      </c>
      <c r="BC3" t="s">
        <v>946</v>
      </c>
      <c r="BD3" t="s">
        <v>946</v>
      </c>
      <c r="BE3" t="s">
        <v>946</v>
      </c>
      <c r="BF3" t="s">
        <v>946</v>
      </c>
      <c r="BG3" t="s">
        <v>946</v>
      </c>
      <c r="BH3" t="s">
        <v>946</v>
      </c>
      <c r="BI3" t="s">
        <v>946</v>
      </c>
      <c r="BJ3" t="s">
        <v>946</v>
      </c>
      <c r="BK3" t="s">
        <v>946</v>
      </c>
      <c r="BL3" t="s">
        <v>946</v>
      </c>
      <c r="BM3" t="s">
        <v>946</v>
      </c>
      <c r="BN3" t="s">
        <v>946</v>
      </c>
      <c r="BO3" t="s">
        <v>946</v>
      </c>
      <c r="BP3" t="s">
        <v>946</v>
      </c>
      <c r="BQ3" t="s">
        <v>946</v>
      </c>
      <c r="BR3" t="s">
        <v>946</v>
      </c>
      <c r="BS3" t="s">
        <v>946</v>
      </c>
      <c r="BT3" t="s">
        <v>946</v>
      </c>
      <c r="BU3" t="s">
        <v>946</v>
      </c>
      <c r="BV3" t="s">
        <v>946</v>
      </c>
      <c r="BW3" t="s">
        <v>946</v>
      </c>
      <c r="BX3" t="s">
        <v>946</v>
      </c>
      <c r="BY3" t="s">
        <v>946</v>
      </c>
      <c r="BZ3" t="s">
        <v>946</v>
      </c>
      <c r="CA3" t="s">
        <v>946</v>
      </c>
    </row>
    <row r="4" spans="1:79" x14ac:dyDescent="0.2">
      <c r="A4" t="s">
        <v>8</v>
      </c>
      <c r="B4" t="s">
        <v>946</v>
      </c>
      <c r="C4" t="s">
        <v>8</v>
      </c>
      <c r="D4" t="s">
        <v>946</v>
      </c>
      <c r="E4" t="s">
        <v>8</v>
      </c>
      <c r="F4" t="s">
        <v>946</v>
      </c>
      <c r="G4" t="s">
        <v>946</v>
      </c>
      <c r="H4" t="s">
        <v>946</v>
      </c>
      <c r="I4" t="s">
        <v>8</v>
      </c>
      <c r="J4" t="s">
        <v>946</v>
      </c>
      <c r="K4" t="s">
        <v>8</v>
      </c>
      <c r="L4" t="s">
        <v>8</v>
      </c>
      <c r="M4" t="s">
        <v>8</v>
      </c>
      <c r="N4" t="s">
        <v>946</v>
      </c>
      <c r="O4" t="s">
        <v>946</v>
      </c>
      <c r="P4" t="s">
        <v>946</v>
      </c>
      <c r="Q4" t="s">
        <v>8</v>
      </c>
      <c r="R4" t="s">
        <v>8</v>
      </c>
      <c r="S4" t="s">
        <v>946</v>
      </c>
      <c r="T4" t="s">
        <v>8</v>
      </c>
      <c r="U4" t="s">
        <v>8</v>
      </c>
      <c r="V4" t="s">
        <v>8</v>
      </c>
      <c r="W4" t="s">
        <v>8</v>
      </c>
      <c r="X4" t="s">
        <v>8</v>
      </c>
      <c r="Y4" t="s">
        <v>8</v>
      </c>
      <c r="Z4" t="s">
        <v>946</v>
      </c>
      <c r="AA4" t="s">
        <v>946</v>
      </c>
      <c r="AB4" t="s">
        <v>946</v>
      </c>
      <c r="AC4" t="s">
        <v>946</v>
      </c>
      <c r="AD4" t="s">
        <v>946</v>
      </c>
      <c r="AE4" t="s">
        <v>946</v>
      </c>
      <c r="AF4" t="s">
        <v>946</v>
      </c>
      <c r="AG4" t="s">
        <v>946</v>
      </c>
      <c r="AH4" t="s">
        <v>8</v>
      </c>
      <c r="AI4" t="s">
        <v>8</v>
      </c>
      <c r="AJ4" t="s">
        <v>946</v>
      </c>
      <c r="AK4" t="s">
        <v>8</v>
      </c>
      <c r="AL4" t="s">
        <v>8</v>
      </c>
      <c r="AM4" t="s">
        <v>946</v>
      </c>
      <c r="AN4" t="s">
        <v>946</v>
      </c>
      <c r="AO4" t="s">
        <v>946</v>
      </c>
      <c r="AP4" t="s">
        <v>946</v>
      </c>
      <c r="AQ4" t="s">
        <v>8</v>
      </c>
      <c r="AR4" t="s">
        <v>946</v>
      </c>
      <c r="AS4" t="s">
        <v>8</v>
      </c>
      <c r="AT4" t="s">
        <v>8</v>
      </c>
      <c r="AU4" t="s">
        <v>946</v>
      </c>
      <c r="AV4" t="s">
        <v>8</v>
      </c>
      <c r="AW4" t="s">
        <v>946</v>
      </c>
      <c r="AX4" t="s">
        <v>8</v>
      </c>
      <c r="AY4" t="s">
        <v>8</v>
      </c>
      <c r="AZ4" t="s">
        <v>8</v>
      </c>
      <c r="BA4" t="s">
        <v>946</v>
      </c>
      <c r="BB4" t="s">
        <v>946</v>
      </c>
      <c r="BC4" t="s">
        <v>946</v>
      </c>
      <c r="BD4" t="s">
        <v>8</v>
      </c>
      <c r="BE4" t="s">
        <v>946</v>
      </c>
      <c r="BF4" t="s">
        <v>946</v>
      </c>
      <c r="BG4" t="s">
        <v>946</v>
      </c>
      <c r="BH4" t="s">
        <v>946</v>
      </c>
      <c r="BI4" t="s">
        <v>946</v>
      </c>
      <c r="BJ4" t="s">
        <v>946</v>
      </c>
      <c r="BK4" t="s">
        <v>946</v>
      </c>
      <c r="BL4" t="s">
        <v>946</v>
      </c>
      <c r="BM4" t="s">
        <v>946</v>
      </c>
      <c r="BN4" t="s">
        <v>946</v>
      </c>
      <c r="BO4" t="s">
        <v>946</v>
      </c>
      <c r="BP4" t="s">
        <v>946</v>
      </c>
      <c r="BQ4" t="s">
        <v>946</v>
      </c>
      <c r="BR4" t="s">
        <v>946</v>
      </c>
      <c r="BS4" t="s">
        <v>8</v>
      </c>
      <c r="BT4" t="s">
        <v>8</v>
      </c>
      <c r="BU4" t="s">
        <v>8</v>
      </c>
      <c r="BV4" t="s">
        <v>8</v>
      </c>
      <c r="BW4" t="s">
        <v>8</v>
      </c>
      <c r="BX4" t="s">
        <v>946</v>
      </c>
      <c r="BY4" t="s">
        <v>8</v>
      </c>
      <c r="BZ4" t="s">
        <v>946</v>
      </c>
      <c r="CA4" t="s">
        <v>946</v>
      </c>
    </row>
    <row r="5" spans="1:79" x14ac:dyDescent="0.2">
      <c r="A5" t="s">
        <v>65</v>
      </c>
      <c r="B5" t="s">
        <v>946</v>
      </c>
      <c r="C5" t="s">
        <v>946</v>
      </c>
      <c r="D5" t="s">
        <v>946</v>
      </c>
      <c r="E5" t="s">
        <v>65</v>
      </c>
      <c r="F5" t="s">
        <v>946</v>
      </c>
      <c r="G5" t="s">
        <v>65</v>
      </c>
      <c r="H5" t="s">
        <v>946</v>
      </c>
      <c r="I5" t="s">
        <v>946</v>
      </c>
      <c r="J5" t="s">
        <v>946</v>
      </c>
      <c r="K5" t="s">
        <v>946</v>
      </c>
      <c r="L5" t="s">
        <v>946</v>
      </c>
      <c r="M5" t="s">
        <v>946</v>
      </c>
      <c r="N5" t="s">
        <v>946</v>
      </c>
      <c r="O5" t="s">
        <v>946</v>
      </c>
      <c r="P5" t="s">
        <v>946</v>
      </c>
      <c r="Q5" t="s">
        <v>946</v>
      </c>
      <c r="R5" t="s">
        <v>946</v>
      </c>
      <c r="S5" t="s">
        <v>946</v>
      </c>
      <c r="T5" t="s">
        <v>946</v>
      </c>
      <c r="U5" t="s">
        <v>946</v>
      </c>
      <c r="V5" t="s">
        <v>946</v>
      </c>
      <c r="W5" t="s">
        <v>946</v>
      </c>
      <c r="X5" t="s">
        <v>946</v>
      </c>
      <c r="Y5" t="s">
        <v>946</v>
      </c>
      <c r="Z5" t="s">
        <v>946</v>
      </c>
      <c r="AA5" t="s">
        <v>946</v>
      </c>
      <c r="AB5" t="s">
        <v>946</v>
      </c>
      <c r="AC5" t="s">
        <v>946</v>
      </c>
      <c r="AD5" t="s">
        <v>946</v>
      </c>
      <c r="AE5" t="s">
        <v>946</v>
      </c>
      <c r="AF5" t="s">
        <v>946</v>
      </c>
      <c r="AG5" t="s">
        <v>946</v>
      </c>
      <c r="AH5" t="s">
        <v>946</v>
      </c>
      <c r="AI5" t="s">
        <v>946</v>
      </c>
      <c r="AJ5" t="s">
        <v>946</v>
      </c>
      <c r="AK5" t="s">
        <v>946</v>
      </c>
      <c r="AL5" t="s">
        <v>65</v>
      </c>
      <c r="AM5" t="s">
        <v>65</v>
      </c>
      <c r="AN5" t="s">
        <v>65</v>
      </c>
      <c r="AO5" t="s">
        <v>946</v>
      </c>
      <c r="AP5" t="s">
        <v>946</v>
      </c>
      <c r="AQ5" t="s">
        <v>946</v>
      </c>
      <c r="AR5" t="s">
        <v>946</v>
      </c>
      <c r="AS5" t="s">
        <v>946</v>
      </c>
      <c r="AT5" t="s">
        <v>946</v>
      </c>
      <c r="AU5" t="s">
        <v>946</v>
      </c>
      <c r="AV5" t="s">
        <v>946</v>
      </c>
      <c r="AW5" t="s">
        <v>946</v>
      </c>
      <c r="AX5" t="s">
        <v>946</v>
      </c>
      <c r="AY5" t="s">
        <v>946</v>
      </c>
      <c r="AZ5" t="s">
        <v>946</v>
      </c>
      <c r="BA5" t="s">
        <v>946</v>
      </c>
      <c r="BB5" t="s">
        <v>946</v>
      </c>
      <c r="BC5" t="s">
        <v>946</v>
      </c>
      <c r="BD5" t="s">
        <v>946</v>
      </c>
      <c r="BE5" t="s">
        <v>946</v>
      </c>
      <c r="BF5" t="s">
        <v>946</v>
      </c>
      <c r="BG5" t="s">
        <v>946</v>
      </c>
      <c r="BH5" t="s">
        <v>946</v>
      </c>
      <c r="BI5" t="s">
        <v>946</v>
      </c>
      <c r="BJ5" t="s">
        <v>946</v>
      </c>
      <c r="BK5" t="s">
        <v>946</v>
      </c>
      <c r="BL5" t="s">
        <v>946</v>
      </c>
      <c r="BM5" t="s">
        <v>946</v>
      </c>
      <c r="BN5" t="s">
        <v>946</v>
      </c>
      <c r="BO5" t="s">
        <v>946</v>
      </c>
      <c r="BP5" t="s">
        <v>946</v>
      </c>
      <c r="BQ5" t="s">
        <v>946</v>
      </c>
      <c r="BR5" t="s">
        <v>946</v>
      </c>
      <c r="BS5" t="s">
        <v>946</v>
      </c>
      <c r="BT5" t="s">
        <v>946</v>
      </c>
      <c r="BU5" t="s">
        <v>946</v>
      </c>
      <c r="BV5" t="s">
        <v>946</v>
      </c>
      <c r="BW5" t="s">
        <v>946</v>
      </c>
      <c r="BX5" t="s">
        <v>946</v>
      </c>
      <c r="BY5" t="s">
        <v>946</v>
      </c>
      <c r="BZ5" t="s">
        <v>946</v>
      </c>
      <c r="CA5" t="s">
        <v>946</v>
      </c>
    </row>
    <row r="6" spans="1:79" x14ac:dyDescent="0.2">
      <c r="A6" t="s">
        <v>906</v>
      </c>
      <c r="B6" t="s">
        <v>946</v>
      </c>
      <c r="C6" t="s">
        <v>946</v>
      </c>
      <c r="D6" t="s">
        <v>946</v>
      </c>
      <c r="E6" t="s">
        <v>946</v>
      </c>
      <c r="F6" t="s">
        <v>946</v>
      </c>
      <c r="G6" t="s">
        <v>946</v>
      </c>
      <c r="H6" t="s">
        <v>906</v>
      </c>
      <c r="I6" t="s">
        <v>946</v>
      </c>
      <c r="J6" t="s">
        <v>946</v>
      </c>
      <c r="K6" t="s">
        <v>946</v>
      </c>
      <c r="L6" t="s">
        <v>946</v>
      </c>
      <c r="M6" t="s">
        <v>946</v>
      </c>
      <c r="N6" t="s">
        <v>946</v>
      </c>
      <c r="O6" t="s">
        <v>946</v>
      </c>
      <c r="P6" t="s">
        <v>946</v>
      </c>
      <c r="Q6" t="s">
        <v>946</v>
      </c>
      <c r="R6" t="s">
        <v>946</v>
      </c>
      <c r="S6" t="s">
        <v>946</v>
      </c>
      <c r="T6" t="s">
        <v>946</v>
      </c>
      <c r="U6" t="s">
        <v>946</v>
      </c>
      <c r="V6" t="s">
        <v>946</v>
      </c>
      <c r="W6" t="s">
        <v>946</v>
      </c>
      <c r="X6" t="s">
        <v>946</v>
      </c>
      <c r="Y6" t="s">
        <v>946</v>
      </c>
      <c r="Z6" t="s">
        <v>946</v>
      </c>
      <c r="AA6" t="s">
        <v>946</v>
      </c>
      <c r="AB6" t="s">
        <v>946</v>
      </c>
      <c r="AC6" t="s">
        <v>946</v>
      </c>
      <c r="AD6" t="s">
        <v>946</v>
      </c>
      <c r="AE6" t="s">
        <v>946</v>
      </c>
      <c r="AF6" t="s">
        <v>946</v>
      </c>
      <c r="AG6" t="s">
        <v>946</v>
      </c>
      <c r="AH6" t="s">
        <v>946</v>
      </c>
      <c r="AI6" t="s">
        <v>946</v>
      </c>
      <c r="AJ6" t="s">
        <v>946</v>
      </c>
      <c r="AK6" t="s">
        <v>946</v>
      </c>
      <c r="AL6" t="s">
        <v>946</v>
      </c>
      <c r="AM6" t="s">
        <v>946</v>
      </c>
      <c r="AN6" t="s">
        <v>946</v>
      </c>
      <c r="AO6" t="s">
        <v>946</v>
      </c>
      <c r="AP6" t="s">
        <v>946</v>
      </c>
      <c r="AQ6" t="s">
        <v>946</v>
      </c>
      <c r="AR6" t="s">
        <v>946</v>
      </c>
      <c r="AS6" t="s">
        <v>946</v>
      </c>
      <c r="AT6" t="s">
        <v>946</v>
      </c>
      <c r="AU6" t="s">
        <v>946</v>
      </c>
      <c r="AV6" t="s">
        <v>946</v>
      </c>
      <c r="AW6" t="s">
        <v>946</v>
      </c>
      <c r="AX6" t="s">
        <v>946</v>
      </c>
      <c r="AY6" t="s">
        <v>946</v>
      </c>
      <c r="AZ6" t="s">
        <v>946</v>
      </c>
      <c r="BA6" t="s">
        <v>946</v>
      </c>
      <c r="BB6" t="s">
        <v>946</v>
      </c>
      <c r="BC6" t="s">
        <v>946</v>
      </c>
      <c r="BD6" t="s">
        <v>946</v>
      </c>
      <c r="BE6" t="s">
        <v>946</v>
      </c>
      <c r="BF6" t="s">
        <v>946</v>
      </c>
      <c r="BG6" t="s">
        <v>946</v>
      </c>
      <c r="BH6" t="s">
        <v>946</v>
      </c>
      <c r="BI6" t="s">
        <v>946</v>
      </c>
      <c r="BJ6" t="s">
        <v>946</v>
      </c>
      <c r="BK6" t="s">
        <v>946</v>
      </c>
      <c r="BL6" t="s">
        <v>946</v>
      </c>
      <c r="BM6" t="s">
        <v>946</v>
      </c>
      <c r="BN6" t="s">
        <v>946</v>
      </c>
      <c r="BO6" t="s">
        <v>946</v>
      </c>
      <c r="BP6" t="s">
        <v>946</v>
      </c>
      <c r="BQ6" t="s">
        <v>946</v>
      </c>
      <c r="BR6" t="s">
        <v>946</v>
      </c>
      <c r="BS6" t="s">
        <v>946</v>
      </c>
      <c r="BT6" t="s">
        <v>946</v>
      </c>
      <c r="BU6" t="s">
        <v>946</v>
      </c>
      <c r="BV6" t="s">
        <v>946</v>
      </c>
      <c r="BW6" t="s">
        <v>946</v>
      </c>
      <c r="BX6" t="s">
        <v>946</v>
      </c>
      <c r="BY6" t="s">
        <v>946</v>
      </c>
      <c r="BZ6" t="s">
        <v>946</v>
      </c>
      <c r="CA6" t="s">
        <v>946</v>
      </c>
    </row>
    <row r="7" spans="1:79" x14ac:dyDescent="0.2">
      <c r="A7" t="s">
        <v>899</v>
      </c>
      <c r="B7" t="s">
        <v>899</v>
      </c>
      <c r="C7" t="s">
        <v>946</v>
      </c>
      <c r="D7" t="s">
        <v>946</v>
      </c>
      <c r="E7" t="s">
        <v>946</v>
      </c>
      <c r="F7" t="s">
        <v>899</v>
      </c>
      <c r="G7" t="s">
        <v>946</v>
      </c>
      <c r="H7" t="s">
        <v>946</v>
      </c>
      <c r="I7" t="s">
        <v>946</v>
      </c>
      <c r="J7" t="s">
        <v>899</v>
      </c>
      <c r="K7" t="s">
        <v>946</v>
      </c>
      <c r="L7" t="s">
        <v>946</v>
      </c>
      <c r="M7" t="s">
        <v>946</v>
      </c>
      <c r="N7" t="s">
        <v>899</v>
      </c>
      <c r="O7" t="s">
        <v>946</v>
      </c>
      <c r="P7" t="s">
        <v>946</v>
      </c>
      <c r="Q7" t="s">
        <v>946</v>
      </c>
      <c r="R7" t="s">
        <v>899</v>
      </c>
      <c r="S7" t="s">
        <v>946</v>
      </c>
      <c r="T7" t="s">
        <v>899</v>
      </c>
      <c r="U7" t="s">
        <v>946</v>
      </c>
      <c r="V7" t="s">
        <v>899</v>
      </c>
      <c r="W7" t="s">
        <v>899</v>
      </c>
      <c r="X7" t="s">
        <v>946</v>
      </c>
      <c r="Y7" t="s">
        <v>946</v>
      </c>
      <c r="Z7" t="s">
        <v>946</v>
      </c>
      <c r="AA7" t="s">
        <v>899</v>
      </c>
      <c r="AB7" t="s">
        <v>899</v>
      </c>
      <c r="AC7" t="s">
        <v>946</v>
      </c>
      <c r="AD7" t="s">
        <v>946</v>
      </c>
      <c r="AE7" t="s">
        <v>946</v>
      </c>
      <c r="AF7" t="s">
        <v>946</v>
      </c>
      <c r="AG7" t="s">
        <v>899</v>
      </c>
      <c r="AH7" t="s">
        <v>899</v>
      </c>
      <c r="AI7" t="s">
        <v>946</v>
      </c>
      <c r="AJ7" t="s">
        <v>946</v>
      </c>
      <c r="AK7" t="s">
        <v>946</v>
      </c>
      <c r="AL7" t="s">
        <v>946</v>
      </c>
      <c r="AM7" t="s">
        <v>946</v>
      </c>
      <c r="AN7" t="s">
        <v>946</v>
      </c>
      <c r="AO7" t="s">
        <v>946</v>
      </c>
      <c r="AP7" t="s">
        <v>899</v>
      </c>
      <c r="AQ7" t="s">
        <v>946</v>
      </c>
      <c r="AR7" t="s">
        <v>899</v>
      </c>
      <c r="AS7" t="s">
        <v>899</v>
      </c>
      <c r="AT7" t="s">
        <v>946</v>
      </c>
      <c r="AU7" t="s">
        <v>899</v>
      </c>
      <c r="AV7" t="s">
        <v>946</v>
      </c>
      <c r="AW7" t="s">
        <v>899</v>
      </c>
      <c r="AX7" t="s">
        <v>946</v>
      </c>
      <c r="AY7" t="s">
        <v>946</v>
      </c>
      <c r="AZ7" t="s">
        <v>946</v>
      </c>
      <c r="BA7" t="s">
        <v>946</v>
      </c>
      <c r="BB7" t="s">
        <v>946</v>
      </c>
      <c r="BC7" t="s">
        <v>899</v>
      </c>
      <c r="BD7" t="s">
        <v>946</v>
      </c>
      <c r="BE7" t="s">
        <v>946</v>
      </c>
      <c r="BF7" t="s">
        <v>946</v>
      </c>
      <c r="BG7" t="s">
        <v>946</v>
      </c>
      <c r="BH7" t="s">
        <v>946</v>
      </c>
      <c r="BI7" t="s">
        <v>946</v>
      </c>
      <c r="BJ7" t="s">
        <v>946</v>
      </c>
      <c r="BK7" t="s">
        <v>946</v>
      </c>
      <c r="BL7" t="s">
        <v>946</v>
      </c>
      <c r="BM7" t="s">
        <v>946</v>
      </c>
      <c r="BN7" t="s">
        <v>946</v>
      </c>
      <c r="BO7" t="s">
        <v>946</v>
      </c>
      <c r="BP7" t="s">
        <v>946</v>
      </c>
      <c r="BQ7" t="s">
        <v>899</v>
      </c>
      <c r="BR7" t="s">
        <v>899</v>
      </c>
      <c r="BS7" t="s">
        <v>946</v>
      </c>
      <c r="BT7" t="s">
        <v>946</v>
      </c>
      <c r="BU7" t="s">
        <v>899</v>
      </c>
      <c r="BV7" t="s">
        <v>899</v>
      </c>
      <c r="BW7" t="s">
        <v>946</v>
      </c>
      <c r="BX7" t="s">
        <v>946</v>
      </c>
      <c r="BY7" t="s">
        <v>946</v>
      </c>
      <c r="BZ7" t="s">
        <v>899</v>
      </c>
      <c r="CA7" t="s">
        <v>946</v>
      </c>
    </row>
    <row r="8" spans="1:79" x14ac:dyDescent="0.2">
      <c r="A8" t="s">
        <v>11</v>
      </c>
      <c r="B8" t="s">
        <v>946</v>
      </c>
      <c r="C8" t="s">
        <v>946</v>
      </c>
      <c r="D8" t="s">
        <v>946</v>
      </c>
      <c r="E8" t="s">
        <v>11</v>
      </c>
      <c r="F8" t="s">
        <v>946</v>
      </c>
      <c r="G8" t="s">
        <v>946</v>
      </c>
      <c r="H8" t="s">
        <v>946</v>
      </c>
      <c r="I8" t="s">
        <v>946</v>
      </c>
      <c r="J8" t="s">
        <v>946</v>
      </c>
      <c r="K8" t="s">
        <v>946</v>
      </c>
      <c r="L8" t="s">
        <v>946</v>
      </c>
      <c r="M8" t="s">
        <v>946</v>
      </c>
      <c r="N8" t="s">
        <v>946</v>
      </c>
      <c r="O8" t="s">
        <v>946</v>
      </c>
      <c r="P8" t="s">
        <v>946</v>
      </c>
      <c r="Q8" t="s">
        <v>946</v>
      </c>
      <c r="R8" t="s">
        <v>946</v>
      </c>
      <c r="S8" t="s">
        <v>946</v>
      </c>
      <c r="T8" t="s">
        <v>946</v>
      </c>
      <c r="U8" t="s">
        <v>946</v>
      </c>
      <c r="V8" t="s">
        <v>946</v>
      </c>
      <c r="W8" t="s">
        <v>946</v>
      </c>
      <c r="X8" t="s">
        <v>946</v>
      </c>
      <c r="Y8" t="s">
        <v>946</v>
      </c>
      <c r="Z8" t="s">
        <v>946</v>
      </c>
      <c r="AA8" t="s">
        <v>946</v>
      </c>
      <c r="AB8" t="s">
        <v>946</v>
      </c>
      <c r="AC8" t="s">
        <v>946</v>
      </c>
      <c r="AD8" t="s">
        <v>946</v>
      </c>
      <c r="AE8" t="s">
        <v>946</v>
      </c>
      <c r="AF8" t="s">
        <v>946</v>
      </c>
      <c r="AG8" t="s">
        <v>946</v>
      </c>
      <c r="AH8" t="s">
        <v>946</v>
      </c>
      <c r="AI8" t="s">
        <v>946</v>
      </c>
      <c r="AJ8" t="s">
        <v>946</v>
      </c>
      <c r="AK8" t="s">
        <v>946</v>
      </c>
      <c r="AL8" t="s">
        <v>11</v>
      </c>
      <c r="AM8" t="s">
        <v>946</v>
      </c>
      <c r="AN8" t="s">
        <v>946</v>
      </c>
      <c r="AO8" t="s">
        <v>11</v>
      </c>
      <c r="AP8" t="s">
        <v>946</v>
      </c>
      <c r="AQ8" t="s">
        <v>946</v>
      </c>
      <c r="AR8" t="s">
        <v>946</v>
      </c>
      <c r="AS8" t="s">
        <v>946</v>
      </c>
      <c r="AT8" t="s">
        <v>946</v>
      </c>
      <c r="AU8" t="s">
        <v>946</v>
      </c>
      <c r="AV8" t="s">
        <v>946</v>
      </c>
      <c r="AW8" t="s">
        <v>946</v>
      </c>
      <c r="AX8" t="s">
        <v>946</v>
      </c>
      <c r="AY8" t="s">
        <v>946</v>
      </c>
      <c r="AZ8" t="s">
        <v>946</v>
      </c>
      <c r="BA8" t="s">
        <v>946</v>
      </c>
      <c r="BB8" t="s">
        <v>946</v>
      </c>
      <c r="BC8" t="s">
        <v>946</v>
      </c>
      <c r="BD8" t="s">
        <v>946</v>
      </c>
      <c r="BE8" t="s">
        <v>946</v>
      </c>
      <c r="BF8" t="s">
        <v>946</v>
      </c>
      <c r="BG8" t="s">
        <v>946</v>
      </c>
      <c r="BH8" t="s">
        <v>946</v>
      </c>
      <c r="BI8" t="s">
        <v>946</v>
      </c>
      <c r="BJ8" t="s">
        <v>946</v>
      </c>
      <c r="BK8" t="s">
        <v>946</v>
      </c>
      <c r="BL8" t="s">
        <v>946</v>
      </c>
      <c r="BM8" t="s">
        <v>946</v>
      </c>
      <c r="BN8" t="s">
        <v>946</v>
      </c>
      <c r="BO8" t="s">
        <v>946</v>
      </c>
      <c r="BP8" t="s">
        <v>946</v>
      </c>
      <c r="BQ8" t="s">
        <v>946</v>
      </c>
      <c r="BR8" t="s">
        <v>946</v>
      </c>
      <c r="BS8" t="s">
        <v>946</v>
      </c>
      <c r="BT8" t="s">
        <v>946</v>
      </c>
      <c r="BU8" t="s">
        <v>946</v>
      </c>
      <c r="BV8" t="s">
        <v>946</v>
      </c>
      <c r="BW8" t="s">
        <v>946</v>
      </c>
      <c r="BX8" t="s">
        <v>946</v>
      </c>
      <c r="BY8" t="s">
        <v>946</v>
      </c>
      <c r="BZ8" t="s">
        <v>946</v>
      </c>
      <c r="CA8" t="s">
        <v>946</v>
      </c>
    </row>
    <row r="9" spans="1:79" x14ac:dyDescent="0.2">
      <c r="A9" t="s">
        <v>394</v>
      </c>
      <c r="B9" t="s">
        <v>946</v>
      </c>
      <c r="C9" t="s">
        <v>946</v>
      </c>
      <c r="D9" t="s">
        <v>946</v>
      </c>
      <c r="E9" t="s">
        <v>946</v>
      </c>
      <c r="F9" t="s">
        <v>946</v>
      </c>
      <c r="G9" t="s">
        <v>946</v>
      </c>
      <c r="H9" t="s">
        <v>946</v>
      </c>
      <c r="I9" t="s">
        <v>946</v>
      </c>
      <c r="J9" t="s">
        <v>946</v>
      </c>
      <c r="K9" t="s">
        <v>946</v>
      </c>
      <c r="L9" t="s">
        <v>946</v>
      </c>
      <c r="M9" t="s">
        <v>946</v>
      </c>
      <c r="N9" t="s">
        <v>946</v>
      </c>
      <c r="O9" t="s">
        <v>946</v>
      </c>
      <c r="P9" t="s">
        <v>946</v>
      </c>
      <c r="Q9" t="s">
        <v>946</v>
      </c>
      <c r="R9" t="s">
        <v>946</v>
      </c>
      <c r="S9" t="s">
        <v>946</v>
      </c>
      <c r="T9" t="s">
        <v>946</v>
      </c>
      <c r="U9" t="s">
        <v>946</v>
      </c>
      <c r="V9" t="s">
        <v>946</v>
      </c>
      <c r="W9" t="s">
        <v>946</v>
      </c>
      <c r="X9" t="s">
        <v>946</v>
      </c>
      <c r="Y9" t="s">
        <v>946</v>
      </c>
      <c r="Z9" t="s">
        <v>946</v>
      </c>
      <c r="AA9" t="s">
        <v>946</v>
      </c>
      <c r="AB9" t="s">
        <v>946</v>
      </c>
      <c r="AC9" t="s">
        <v>946</v>
      </c>
      <c r="AD9" t="s">
        <v>946</v>
      </c>
      <c r="AE9" t="s">
        <v>946</v>
      </c>
      <c r="AF9" t="s">
        <v>946</v>
      </c>
      <c r="AG9" t="s">
        <v>946</v>
      </c>
      <c r="AH9" t="s">
        <v>946</v>
      </c>
      <c r="AI9" t="s">
        <v>946</v>
      </c>
      <c r="AJ9" t="s">
        <v>394</v>
      </c>
      <c r="AK9" t="s">
        <v>946</v>
      </c>
      <c r="AL9" t="s">
        <v>946</v>
      </c>
      <c r="AM9" t="s">
        <v>946</v>
      </c>
      <c r="AN9" t="s">
        <v>946</v>
      </c>
      <c r="AO9" t="s">
        <v>946</v>
      </c>
      <c r="AP9" t="s">
        <v>946</v>
      </c>
      <c r="AQ9" t="s">
        <v>946</v>
      </c>
      <c r="AR9" t="s">
        <v>946</v>
      </c>
      <c r="AS9" t="s">
        <v>946</v>
      </c>
      <c r="AT9" t="s">
        <v>946</v>
      </c>
      <c r="AU9" t="s">
        <v>946</v>
      </c>
      <c r="AV9" t="s">
        <v>946</v>
      </c>
      <c r="AW9" t="s">
        <v>946</v>
      </c>
      <c r="AX9" t="s">
        <v>946</v>
      </c>
      <c r="AY9" t="s">
        <v>946</v>
      </c>
      <c r="AZ9" t="s">
        <v>946</v>
      </c>
      <c r="BA9" t="s">
        <v>946</v>
      </c>
      <c r="BB9" t="s">
        <v>946</v>
      </c>
      <c r="BC9" t="s">
        <v>946</v>
      </c>
      <c r="BD9" t="s">
        <v>946</v>
      </c>
      <c r="BE9" t="s">
        <v>946</v>
      </c>
      <c r="BF9" t="s">
        <v>946</v>
      </c>
      <c r="BG9" t="s">
        <v>946</v>
      </c>
      <c r="BH9" t="s">
        <v>946</v>
      </c>
      <c r="BI9" t="s">
        <v>946</v>
      </c>
      <c r="BJ9" t="s">
        <v>946</v>
      </c>
      <c r="BK9" t="s">
        <v>946</v>
      </c>
      <c r="BL9" t="s">
        <v>946</v>
      </c>
      <c r="BM9" t="s">
        <v>946</v>
      </c>
      <c r="BN9" t="s">
        <v>946</v>
      </c>
      <c r="BO9" t="s">
        <v>946</v>
      </c>
      <c r="BP9" t="s">
        <v>946</v>
      </c>
      <c r="BQ9" t="s">
        <v>946</v>
      </c>
      <c r="BR9" t="s">
        <v>946</v>
      </c>
      <c r="BS9" t="s">
        <v>946</v>
      </c>
      <c r="BT9" t="s">
        <v>946</v>
      </c>
      <c r="BU9" t="s">
        <v>946</v>
      </c>
      <c r="BV9" t="s">
        <v>946</v>
      </c>
      <c r="BW9" t="s">
        <v>946</v>
      </c>
      <c r="BX9" t="s">
        <v>946</v>
      </c>
      <c r="BY9" t="s">
        <v>946</v>
      </c>
      <c r="BZ9" t="s">
        <v>946</v>
      </c>
      <c r="CA9" t="s">
        <v>946</v>
      </c>
    </row>
    <row r="10" spans="1:79" x14ac:dyDescent="0.2">
      <c r="A10" t="s">
        <v>67</v>
      </c>
      <c r="B10" t="s">
        <v>67</v>
      </c>
      <c r="C10" t="s">
        <v>946</v>
      </c>
      <c r="D10" t="s">
        <v>946</v>
      </c>
      <c r="E10" t="s">
        <v>946</v>
      </c>
      <c r="F10" t="s">
        <v>67</v>
      </c>
      <c r="G10" t="s">
        <v>946</v>
      </c>
      <c r="H10" t="s">
        <v>946</v>
      </c>
      <c r="I10" t="s">
        <v>946</v>
      </c>
      <c r="J10" t="s">
        <v>946</v>
      </c>
      <c r="K10" t="s">
        <v>946</v>
      </c>
      <c r="L10" t="s">
        <v>946</v>
      </c>
      <c r="M10" t="s">
        <v>946</v>
      </c>
      <c r="N10" t="s">
        <v>946</v>
      </c>
      <c r="O10" t="s">
        <v>946</v>
      </c>
      <c r="P10" t="s">
        <v>946</v>
      </c>
      <c r="Q10" t="s">
        <v>946</v>
      </c>
      <c r="R10" t="s">
        <v>946</v>
      </c>
      <c r="S10" t="s">
        <v>946</v>
      </c>
      <c r="T10" t="s">
        <v>946</v>
      </c>
      <c r="U10" t="s">
        <v>946</v>
      </c>
      <c r="V10" t="s">
        <v>946</v>
      </c>
      <c r="W10" t="s">
        <v>946</v>
      </c>
      <c r="X10" t="s">
        <v>946</v>
      </c>
      <c r="Y10" t="s">
        <v>946</v>
      </c>
      <c r="Z10" t="s">
        <v>946</v>
      </c>
      <c r="AA10" t="s">
        <v>946</v>
      </c>
      <c r="AB10" t="s">
        <v>946</v>
      </c>
      <c r="AC10" t="s">
        <v>946</v>
      </c>
      <c r="AD10" t="s">
        <v>946</v>
      </c>
      <c r="AE10" t="s">
        <v>67</v>
      </c>
      <c r="AF10" t="s">
        <v>67</v>
      </c>
      <c r="AG10" t="s">
        <v>946</v>
      </c>
      <c r="AH10" t="s">
        <v>946</v>
      </c>
      <c r="AI10" t="s">
        <v>946</v>
      </c>
      <c r="AJ10" t="s">
        <v>946</v>
      </c>
      <c r="AK10" t="s">
        <v>946</v>
      </c>
      <c r="AL10" t="s">
        <v>946</v>
      </c>
      <c r="AM10" t="s">
        <v>946</v>
      </c>
      <c r="AN10" t="s">
        <v>946</v>
      </c>
      <c r="AO10" t="s">
        <v>946</v>
      </c>
      <c r="AP10" t="s">
        <v>946</v>
      </c>
      <c r="AQ10" t="s">
        <v>946</v>
      </c>
      <c r="AR10" t="s">
        <v>946</v>
      </c>
      <c r="AS10" t="s">
        <v>946</v>
      </c>
      <c r="AT10" t="s">
        <v>946</v>
      </c>
      <c r="AU10" t="s">
        <v>946</v>
      </c>
      <c r="AV10" t="s">
        <v>946</v>
      </c>
      <c r="AW10" t="s">
        <v>946</v>
      </c>
      <c r="AX10" t="s">
        <v>946</v>
      </c>
      <c r="AY10" t="s">
        <v>946</v>
      </c>
      <c r="AZ10" t="s">
        <v>946</v>
      </c>
      <c r="BA10" t="s">
        <v>946</v>
      </c>
      <c r="BB10" t="s">
        <v>946</v>
      </c>
      <c r="BC10" t="s">
        <v>946</v>
      </c>
      <c r="BD10" t="s">
        <v>946</v>
      </c>
      <c r="BE10" t="s">
        <v>946</v>
      </c>
      <c r="BF10" t="s">
        <v>946</v>
      </c>
      <c r="BG10" t="s">
        <v>946</v>
      </c>
      <c r="BH10" t="s">
        <v>946</v>
      </c>
      <c r="BI10" t="s">
        <v>946</v>
      </c>
      <c r="BJ10" t="s">
        <v>946</v>
      </c>
      <c r="BK10" t="s">
        <v>946</v>
      </c>
      <c r="BL10" t="s">
        <v>946</v>
      </c>
      <c r="BM10" t="s">
        <v>946</v>
      </c>
      <c r="BN10" t="s">
        <v>946</v>
      </c>
      <c r="BO10" t="s">
        <v>946</v>
      </c>
      <c r="BP10" t="s">
        <v>946</v>
      </c>
      <c r="BQ10" t="s">
        <v>946</v>
      </c>
      <c r="BR10" t="s">
        <v>946</v>
      </c>
      <c r="BS10" t="s">
        <v>946</v>
      </c>
      <c r="BT10" t="s">
        <v>946</v>
      </c>
      <c r="BU10" t="s">
        <v>946</v>
      </c>
      <c r="BV10" t="s">
        <v>946</v>
      </c>
      <c r="BW10" t="s">
        <v>946</v>
      </c>
      <c r="BX10" t="s">
        <v>946</v>
      </c>
      <c r="BY10" t="s">
        <v>946</v>
      </c>
      <c r="BZ10" t="s">
        <v>946</v>
      </c>
      <c r="CA10" t="s">
        <v>946</v>
      </c>
    </row>
    <row r="11" spans="1:79" x14ac:dyDescent="0.2">
      <c r="A11" t="s">
        <v>13</v>
      </c>
      <c r="B11" t="s">
        <v>946</v>
      </c>
      <c r="C11" t="s">
        <v>946</v>
      </c>
      <c r="D11" t="s">
        <v>946</v>
      </c>
      <c r="E11" t="s">
        <v>946</v>
      </c>
      <c r="F11" t="s">
        <v>946</v>
      </c>
      <c r="G11" t="s">
        <v>946</v>
      </c>
      <c r="H11" t="s">
        <v>13</v>
      </c>
      <c r="I11" t="s">
        <v>13</v>
      </c>
      <c r="J11" t="s">
        <v>946</v>
      </c>
      <c r="K11" t="s">
        <v>946</v>
      </c>
      <c r="L11" t="s">
        <v>946</v>
      </c>
      <c r="M11" t="s">
        <v>946</v>
      </c>
      <c r="N11" t="s">
        <v>946</v>
      </c>
      <c r="O11" t="s">
        <v>946</v>
      </c>
      <c r="P11" t="s">
        <v>946</v>
      </c>
      <c r="Q11" t="s">
        <v>946</v>
      </c>
      <c r="R11" t="s">
        <v>946</v>
      </c>
      <c r="S11" t="s">
        <v>946</v>
      </c>
      <c r="T11" t="s">
        <v>946</v>
      </c>
      <c r="U11" t="s">
        <v>946</v>
      </c>
      <c r="V11" t="s">
        <v>946</v>
      </c>
      <c r="W11" t="s">
        <v>946</v>
      </c>
      <c r="X11" t="s">
        <v>946</v>
      </c>
      <c r="Y11" t="s">
        <v>946</v>
      </c>
      <c r="Z11" t="s">
        <v>946</v>
      </c>
      <c r="AA11" t="s">
        <v>946</v>
      </c>
      <c r="AB11" t="s">
        <v>946</v>
      </c>
      <c r="AC11" t="s">
        <v>13</v>
      </c>
      <c r="AD11" t="s">
        <v>13</v>
      </c>
      <c r="AE11" t="s">
        <v>946</v>
      </c>
      <c r="AF11" t="s">
        <v>946</v>
      </c>
      <c r="AG11" t="s">
        <v>946</v>
      </c>
      <c r="AH11" t="s">
        <v>946</v>
      </c>
      <c r="AI11" t="s">
        <v>946</v>
      </c>
      <c r="AJ11" t="s">
        <v>946</v>
      </c>
      <c r="AK11" t="s">
        <v>946</v>
      </c>
      <c r="AL11" t="s">
        <v>946</v>
      </c>
      <c r="AM11" t="s">
        <v>946</v>
      </c>
      <c r="AN11" t="s">
        <v>946</v>
      </c>
      <c r="AO11" t="s">
        <v>946</v>
      </c>
      <c r="AP11" t="s">
        <v>946</v>
      </c>
      <c r="AQ11" t="s">
        <v>946</v>
      </c>
      <c r="AR11" t="s">
        <v>946</v>
      </c>
      <c r="AS11" t="s">
        <v>946</v>
      </c>
      <c r="AT11" t="s">
        <v>946</v>
      </c>
      <c r="AU11" t="s">
        <v>946</v>
      </c>
      <c r="AV11" t="s">
        <v>946</v>
      </c>
      <c r="AW11" t="s">
        <v>946</v>
      </c>
      <c r="AX11" t="s">
        <v>946</v>
      </c>
      <c r="AY11" t="s">
        <v>946</v>
      </c>
      <c r="AZ11" t="s">
        <v>13</v>
      </c>
      <c r="BA11" t="s">
        <v>946</v>
      </c>
      <c r="BB11" t="s">
        <v>946</v>
      </c>
      <c r="BC11" t="s">
        <v>946</v>
      </c>
      <c r="BD11" t="s">
        <v>13</v>
      </c>
      <c r="BE11" t="s">
        <v>946</v>
      </c>
      <c r="BF11" t="s">
        <v>946</v>
      </c>
      <c r="BG11" t="s">
        <v>946</v>
      </c>
      <c r="BH11" t="s">
        <v>946</v>
      </c>
      <c r="BI11" t="s">
        <v>946</v>
      </c>
      <c r="BJ11" t="s">
        <v>946</v>
      </c>
      <c r="BK11" t="s">
        <v>946</v>
      </c>
      <c r="BL11" t="s">
        <v>946</v>
      </c>
      <c r="BM11" t="s">
        <v>946</v>
      </c>
      <c r="BN11" t="s">
        <v>946</v>
      </c>
      <c r="BO11" t="s">
        <v>946</v>
      </c>
      <c r="BP11" t="s">
        <v>946</v>
      </c>
      <c r="BQ11" t="s">
        <v>946</v>
      </c>
      <c r="BR11" t="s">
        <v>946</v>
      </c>
      <c r="BS11" t="s">
        <v>946</v>
      </c>
      <c r="BT11" t="s">
        <v>946</v>
      </c>
      <c r="BU11" t="s">
        <v>946</v>
      </c>
      <c r="BV11" t="s">
        <v>946</v>
      </c>
      <c r="BW11" t="s">
        <v>946</v>
      </c>
      <c r="BX11" t="s">
        <v>946</v>
      </c>
      <c r="BY11" t="s">
        <v>946</v>
      </c>
      <c r="BZ11" t="s">
        <v>946</v>
      </c>
      <c r="CA11" t="s">
        <v>946</v>
      </c>
    </row>
    <row r="12" spans="1:79" x14ac:dyDescent="0.2">
      <c r="A12" t="s">
        <v>68</v>
      </c>
      <c r="B12" t="s">
        <v>946</v>
      </c>
      <c r="C12" t="s">
        <v>946</v>
      </c>
      <c r="D12" t="s">
        <v>946</v>
      </c>
      <c r="E12" t="s">
        <v>946</v>
      </c>
      <c r="F12" t="s">
        <v>946</v>
      </c>
      <c r="G12" t="s">
        <v>946</v>
      </c>
      <c r="H12" t="s">
        <v>946</v>
      </c>
      <c r="I12" t="s">
        <v>946</v>
      </c>
      <c r="J12" t="s">
        <v>946</v>
      </c>
      <c r="K12" t="s">
        <v>946</v>
      </c>
      <c r="L12" t="s">
        <v>946</v>
      </c>
      <c r="M12" t="s">
        <v>946</v>
      </c>
      <c r="N12" t="s">
        <v>946</v>
      </c>
      <c r="O12" t="s">
        <v>946</v>
      </c>
      <c r="P12" t="s">
        <v>946</v>
      </c>
      <c r="Q12" t="s">
        <v>946</v>
      </c>
      <c r="R12" t="s">
        <v>946</v>
      </c>
      <c r="S12" t="s">
        <v>946</v>
      </c>
      <c r="T12" t="s">
        <v>946</v>
      </c>
      <c r="U12" t="s">
        <v>946</v>
      </c>
      <c r="V12" t="s">
        <v>946</v>
      </c>
      <c r="W12" t="s">
        <v>946</v>
      </c>
      <c r="X12" t="s">
        <v>946</v>
      </c>
      <c r="Y12" t="s">
        <v>946</v>
      </c>
      <c r="Z12" t="s">
        <v>946</v>
      </c>
      <c r="AA12" t="s">
        <v>946</v>
      </c>
      <c r="AB12" t="s">
        <v>946</v>
      </c>
      <c r="AC12" t="s">
        <v>946</v>
      </c>
      <c r="AD12" t="s">
        <v>946</v>
      </c>
      <c r="AE12" t="s">
        <v>946</v>
      </c>
      <c r="AF12" t="s">
        <v>946</v>
      </c>
      <c r="AG12" t="s">
        <v>68</v>
      </c>
      <c r="AH12" t="s">
        <v>68</v>
      </c>
      <c r="AI12" t="s">
        <v>946</v>
      </c>
      <c r="AJ12" t="s">
        <v>946</v>
      </c>
      <c r="AK12" t="s">
        <v>946</v>
      </c>
      <c r="AL12" t="s">
        <v>946</v>
      </c>
      <c r="AM12" t="s">
        <v>946</v>
      </c>
      <c r="AN12" t="s">
        <v>946</v>
      </c>
      <c r="AO12" t="s">
        <v>946</v>
      </c>
      <c r="AP12" t="s">
        <v>946</v>
      </c>
      <c r="AQ12" t="s">
        <v>946</v>
      </c>
      <c r="AR12" t="s">
        <v>946</v>
      </c>
      <c r="AS12" t="s">
        <v>946</v>
      </c>
      <c r="AT12" t="s">
        <v>946</v>
      </c>
      <c r="AU12" t="s">
        <v>946</v>
      </c>
      <c r="AV12" t="s">
        <v>946</v>
      </c>
      <c r="AW12" t="s">
        <v>946</v>
      </c>
      <c r="AX12" t="s">
        <v>946</v>
      </c>
      <c r="AY12" t="s">
        <v>946</v>
      </c>
      <c r="AZ12" t="s">
        <v>946</v>
      </c>
      <c r="BA12" t="s">
        <v>946</v>
      </c>
      <c r="BB12" t="s">
        <v>946</v>
      </c>
      <c r="BC12" t="s">
        <v>946</v>
      </c>
      <c r="BD12" t="s">
        <v>946</v>
      </c>
      <c r="BE12" t="s">
        <v>946</v>
      </c>
      <c r="BF12" t="s">
        <v>946</v>
      </c>
      <c r="BG12" t="s">
        <v>946</v>
      </c>
      <c r="BH12" t="s">
        <v>946</v>
      </c>
      <c r="BI12" t="s">
        <v>946</v>
      </c>
      <c r="BJ12" t="s">
        <v>946</v>
      </c>
      <c r="BK12" t="s">
        <v>946</v>
      </c>
      <c r="BL12" t="s">
        <v>946</v>
      </c>
      <c r="BM12" t="s">
        <v>946</v>
      </c>
      <c r="BN12" t="s">
        <v>946</v>
      </c>
      <c r="BO12" t="s">
        <v>946</v>
      </c>
      <c r="BP12" t="s">
        <v>946</v>
      </c>
      <c r="BQ12" t="s">
        <v>946</v>
      </c>
      <c r="BR12" t="s">
        <v>946</v>
      </c>
      <c r="BS12" t="s">
        <v>946</v>
      </c>
      <c r="BT12" t="s">
        <v>946</v>
      </c>
      <c r="BU12" t="s">
        <v>946</v>
      </c>
      <c r="BV12" t="s">
        <v>946</v>
      </c>
      <c r="BW12" t="s">
        <v>946</v>
      </c>
      <c r="BX12" t="s">
        <v>946</v>
      </c>
      <c r="BY12" t="s">
        <v>946</v>
      </c>
      <c r="BZ12" t="s">
        <v>946</v>
      </c>
      <c r="CA12" t="s">
        <v>946</v>
      </c>
    </row>
    <row r="13" spans="1:79" x14ac:dyDescent="0.2">
      <c r="A13" t="s">
        <v>14</v>
      </c>
      <c r="B13" t="s">
        <v>14</v>
      </c>
      <c r="C13" t="s">
        <v>946</v>
      </c>
      <c r="D13" t="s">
        <v>946</v>
      </c>
      <c r="E13" t="s">
        <v>946</v>
      </c>
      <c r="F13" t="s">
        <v>14</v>
      </c>
      <c r="G13" t="s">
        <v>946</v>
      </c>
      <c r="H13" t="s">
        <v>946</v>
      </c>
      <c r="I13" t="s">
        <v>946</v>
      </c>
      <c r="J13" t="s">
        <v>946</v>
      </c>
      <c r="K13" t="s">
        <v>946</v>
      </c>
      <c r="L13" t="s">
        <v>946</v>
      </c>
      <c r="M13" t="s">
        <v>946</v>
      </c>
      <c r="N13" t="s">
        <v>946</v>
      </c>
      <c r="O13" t="s">
        <v>946</v>
      </c>
      <c r="P13" t="s">
        <v>946</v>
      </c>
      <c r="Q13" t="s">
        <v>946</v>
      </c>
      <c r="R13" t="s">
        <v>946</v>
      </c>
      <c r="S13" t="s">
        <v>946</v>
      </c>
      <c r="T13" t="s">
        <v>946</v>
      </c>
      <c r="U13" t="s">
        <v>946</v>
      </c>
      <c r="V13" t="s">
        <v>946</v>
      </c>
      <c r="W13" t="s">
        <v>946</v>
      </c>
      <c r="X13" t="s">
        <v>946</v>
      </c>
      <c r="Y13" t="s">
        <v>946</v>
      </c>
      <c r="Z13" t="s">
        <v>946</v>
      </c>
      <c r="AA13" t="s">
        <v>946</v>
      </c>
      <c r="AB13" t="s">
        <v>946</v>
      </c>
      <c r="AC13" t="s">
        <v>946</v>
      </c>
      <c r="AD13" t="s">
        <v>946</v>
      </c>
      <c r="AE13" t="s">
        <v>946</v>
      </c>
      <c r="AF13" t="s">
        <v>946</v>
      </c>
      <c r="AG13" t="s">
        <v>946</v>
      </c>
      <c r="AH13" t="s">
        <v>946</v>
      </c>
      <c r="AI13" t="s">
        <v>946</v>
      </c>
      <c r="AJ13" t="s">
        <v>946</v>
      </c>
      <c r="AK13" t="s">
        <v>946</v>
      </c>
      <c r="AL13" t="s">
        <v>946</v>
      </c>
      <c r="AM13" t="s">
        <v>946</v>
      </c>
      <c r="AN13" t="s">
        <v>946</v>
      </c>
      <c r="AO13" t="s">
        <v>946</v>
      </c>
      <c r="AP13" t="s">
        <v>946</v>
      </c>
      <c r="AQ13" t="s">
        <v>946</v>
      </c>
      <c r="AR13" t="s">
        <v>946</v>
      </c>
      <c r="AS13" t="s">
        <v>946</v>
      </c>
      <c r="AT13" t="s">
        <v>946</v>
      </c>
      <c r="AU13" t="s">
        <v>946</v>
      </c>
      <c r="AV13" t="s">
        <v>946</v>
      </c>
      <c r="AW13" t="s">
        <v>946</v>
      </c>
      <c r="AX13" t="s">
        <v>946</v>
      </c>
      <c r="AY13" t="s">
        <v>946</v>
      </c>
      <c r="AZ13" t="s">
        <v>946</v>
      </c>
      <c r="BA13" t="s">
        <v>946</v>
      </c>
      <c r="BB13" t="s">
        <v>946</v>
      </c>
      <c r="BC13" t="s">
        <v>946</v>
      </c>
      <c r="BD13" t="s">
        <v>946</v>
      </c>
      <c r="BE13" t="s">
        <v>946</v>
      </c>
      <c r="BF13" t="s">
        <v>946</v>
      </c>
      <c r="BG13" t="s">
        <v>946</v>
      </c>
      <c r="BH13" t="s">
        <v>946</v>
      </c>
      <c r="BI13" t="s">
        <v>946</v>
      </c>
      <c r="BJ13" t="s">
        <v>946</v>
      </c>
      <c r="BK13" t="s">
        <v>946</v>
      </c>
      <c r="BL13" t="s">
        <v>946</v>
      </c>
      <c r="BM13" t="s">
        <v>946</v>
      </c>
      <c r="BN13" t="s">
        <v>946</v>
      </c>
      <c r="BO13" t="s">
        <v>946</v>
      </c>
      <c r="BP13" t="s">
        <v>946</v>
      </c>
      <c r="BQ13" t="s">
        <v>946</v>
      </c>
      <c r="BR13" t="s">
        <v>946</v>
      </c>
      <c r="BS13" t="s">
        <v>946</v>
      </c>
      <c r="BT13" t="s">
        <v>946</v>
      </c>
      <c r="BU13" t="s">
        <v>946</v>
      </c>
      <c r="BV13" t="s">
        <v>946</v>
      </c>
      <c r="BW13" t="s">
        <v>946</v>
      </c>
      <c r="BX13" t="s">
        <v>946</v>
      </c>
      <c r="BY13" t="s">
        <v>946</v>
      </c>
      <c r="BZ13" t="s">
        <v>946</v>
      </c>
      <c r="CA13" t="s">
        <v>946</v>
      </c>
    </row>
    <row r="14" spans="1:79" x14ac:dyDescent="0.2">
      <c r="A14" t="s">
        <v>15</v>
      </c>
      <c r="B14" t="s">
        <v>946</v>
      </c>
      <c r="C14" t="s">
        <v>946</v>
      </c>
      <c r="D14" t="s">
        <v>946</v>
      </c>
      <c r="E14" t="s">
        <v>946</v>
      </c>
      <c r="F14" t="s">
        <v>946</v>
      </c>
      <c r="G14" t="s">
        <v>946</v>
      </c>
      <c r="H14" t="s">
        <v>946</v>
      </c>
      <c r="I14" t="s">
        <v>946</v>
      </c>
      <c r="J14" t="s">
        <v>946</v>
      </c>
      <c r="K14" t="s">
        <v>946</v>
      </c>
      <c r="L14" t="s">
        <v>946</v>
      </c>
      <c r="M14" t="s">
        <v>946</v>
      </c>
      <c r="N14" t="s">
        <v>946</v>
      </c>
      <c r="O14" t="s">
        <v>946</v>
      </c>
      <c r="P14" t="s">
        <v>946</v>
      </c>
      <c r="Q14" t="s">
        <v>946</v>
      </c>
      <c r="R14" t="s">
        <v>946</v>
      </c>
      <c r="S14" t="s">
        <v>946</v>
      </c>
      <c r="T14" t="s">
        <v>946</v>
      </c>
      <c r="U14" t="s">
        <v>946</v>
      </c>
      <c r="V14" t="s">
        <v>946</v>
      </c>
      <c r="W14" t="s">
        <v>946</v>
      </c>
      <c r="X14" t="s">
        <v>946</v>
      </c>
      <c r="Y14" t="s">
        <v>946</v>
      </c>
      <c r="Z14" t="s">
        <v>946</v>
      </c>
      <c r="AA14" t="s">
        <v>946</v>
      </c>
      <c r="AB14" t="s">
        <v>946</v>
      </c>
      <c r="AC14" t="s">
        <v>946</v>
      </c>
      <c r="AD14" t="s">
        <v>946</v>
      </c>
      <c r="AE14" t="s">
        <v>946</v>
      </c>
      <c r="AF14" t="s">
        <v>946</v>
      </c>
      <c r="AG14" t="s">
        <v>946</v>
      </c>
      <c r="AH14" t="s">
        <v>946</v>
      </c>
      <c r="AI14" t="s">
        <v>946</v>
      </c>
      <c r="AJ14" t="s">
        <v>946</v>
      </c>
      <c r="AK14" t="s">
        <v>946</v>
      </c>
      <c r="AL14" t="s">
        <v>946</v>
      </c>
      <c r="AM14" t="s">
        <v>946</v>
      </c>
      <c r="AN14" t="s">
        <v>946</v>
      </c>
      <c r="AO14" t="s">
        <v>946</v>
      </c>
      <c r="AP14" t="s">
        <v>946</v>
      </c>
      <c r="AQ14" t="s">
        <v>946</v>
      </c>
      <c r="AR14" t="s">
        <v>946</v>
      </c>
      <c r="AS14" t="s">
        <v>946</v>
      </c>
      <c r="AT14" t="s">
        <v>946</v>
      </c>
      <c r="AU14" t="s">
        <v>946</v>
      </c>
      <c r="AV14" t="s">
        <v>946</v>
      </c>
      <c r="AW14" t="s">
        <v>946</v>
      </c>
      <c r="AX14" t="s">
        <v>946</v>
      </c>
      <c r="AY14" t="s">
        <v>946</v>
      </c>
      <c r="AZ14" t="s">
        <v>946</v>
      </c>
      <c r="BA14" t="s">
        <v>15</v>
      </c>
      <c r="BB14" t="s">
        <v>946</v>
      </c>
      <c r="BC14" t="s">
        <v>946</v>
      </c>
      <c r="BD14" t="s">
        <v>946</v>
      </c>
      <c r="BE14" t="s">
        <v>946</v>
      </c>
      <c r="BF14" t="s">
        <v>946</v>
      </c>
      <c r="BG14" t="s">
        <v>946</v>
      </c>
      <c r="BH14" t="s">
        <v>946</v>
      </c>
      <c r="BI14" t="s">
        <v>946</v>
      </c>
      <c r="BJ14" t="s">
        <v>946</v>
      </c>
      <c r="BK14" t="s">
        <v>946</v>
      </c>
      <c r="BL14" t="s">
        <v>946</v>
      </c>
      <c r="BM14" t="s">
        <v>946</v>
      </c>
      <c r="BN14" t="s">
        <v>946</v>
      </c>
      <c r="BO14" t="s">
        <v>946</v>
      </c>
      <c r="BP14" t="s">
        <v>946</v>
      </c>
      <c r="BQ14" t="s">
        <v>946</v>
      </c>
      <c r="BR14" t="s">
        <v>946</v>
      </c>
      <c r="BS14" t="s">
        <v>946</v>
      </c>
      <c r="BT14" t="s">
        <v>946</v>
      </c>
      <c r="BU14" t="s">
        <v>946</v>
      </c>
      <c r="BV14" t="s">
        <v>946</v>
      </c>
      <c r="BW14" t="s">
        <v>946</v>
      </c>
      <c r="BX14" t="s">
        <v>946</v>
      </c>
      <c r="BY14" t="s">
        <v>946</v>
      </c>
      <c r="BZ14" t="s">
        <v>946</v>
      </c>
      <c r="CA14" t="s">
        <v>946</v>
      </c>
    </row>
    <row r="15" spans="1:79" x14ac:dyDescent="0.2">
      <c r="A15" t="s">
        <v>69</v>
      </c>
      <c r="B15" t="s">
        <v>946</v>
      </c>
      <c r="C15" t="s">
        <v>946</v>
      </c>
      <c r="D15" t="s">
        <v>946</v>
      </c>
      <c r="E15" t="s">
        <v>946</v>
      </c>
      <c r="F15" t="s">
        <v>946</v>
      </c>
      <c r="G15" t="s">
        <v>946</v>
      </c>
      <c r="H15" t="s">
        <v>946</v>
      </c>
      <c r="I15" t="s">
        <v>946</v>
      </c>
      <c r="J15" t="s">
        <v>946</v>
      </c>
      <c r="K15" t="s">
        <v>946</v>
      </c>
      <c r="L15" t="s">
        <v>946</v>
      </c>
      <c r="M15" t="s">
        <v>946</v>
      </c>
      <c r="N15" t="s">
        <v>946</v>
      </c>
      <c r="O15" t="s">
        <v>946</v>
      </c>
      <c r="P15" t="s">
        <v>946</v>
      </c>
      <c r="Q15" t="s">
        <v>946</v>
      </c>
      <c r="R15" t="s">
        <v>946</v>
      </c>
      <c r="S15" t="s">
        <v>946</v>
      </c>
      <c r="T15" t="s">
        <v>946</v>
      </c>
      <c r="U15" t="s">
        <v>946</v>
      </c>
      <c r="V15" t="s">
        <v>946</v>
      </c>
      <c r="W15" t="s">
        <v>946</v>
      </c>
      <c r="X15" t="s">
        <v>946</v>
      </c>
      <c r="Y15" t="s">
        <v>946</v>
      </c>
      <c r="Z15" t="s">
        <v>946</v>
      </c>
      <c r="AA15" t="s">
        <v>946</v>
      </c>
      <c r="AB15" t="s">
        <v>946</v>
      </c>
      <c r="AC15" t="s">
        <v>946</v>
      </c>
      <c r="AD15" t="s">
        <v>946</v>
      </c>
      <c r="AE15" t="s">
        <v>946</v>
      </c>
      <c r="AF15" t="s">
        <v>946</v>
      </c>
      <c r="AG15" t="s">
        <v>946</v>
      </c>
      <c r="AH15" t="s">
        <v>946</v>
      </c>
      <c r="AI15" t="s">
        <v>946</v>
      </c>
      <c r="AJ15" t="s">
        <v>946</v>
      </c>
      <c r="AK15" t="s">
        <v>946</v>
      </c>
      <c r="AL15" t="s">
        <v>946</v>
      </c>
      <c r="AM15" t="s">
        <v>946</v>
      </c>
      <c r="AN15" t="s">
        <v>946</v>
      </c>
      <c r="AO15" t="s">
        <v>946</v>
      </c>
      <c r="AP15" t="s">
        <v>946</v>
      </c>
      <c r="AQ15" t="s">
        <v>946</v>
      </c>
      <c r="AR15" t="s">
        <v>946</v>
      </c>
      <c r="AS15" t="s">
        <v>946</v>
      </c>
      <c r="AT15" t="s">
        <v>946</v>
      </c>
      <c r="AU15" t="s">
        <v>946</v>
      </c>
      <c r="AV15" t="s">
        <v>946</v>
      </c>
      <c r="AW15" t="s">
        <v>946</v>
      </c>
      <c r="AX15" t="s">
        <v>946</v>
      </c>
      <c r="AY15" t="s">
        <v>946</v>
      </c>
      <c r="AZ15" t="s">
        <v>946</v>
      </c>
      <c r="BA15" t="s">
        <v>946</v>
      </c>
      <c r="BB15" t="s">
        <v>946</v>
      </c>
      <c r="BC15" t="s">
        <v>946</v>
      </c>
      <c r="BD15" t="s">
        <v>946</v>
      </c>
      <c r="BE15" t="s">
        <v>946</v>
      </c>
      <c r="BF15" t="s">
        <v>946</v>
      </c>
      <c r="BG15" t="s">
        <v>946</v>
      </c>
      <c r="BH15" t="s">
        <v>946</v>
      </c>
      <c r="BI15" t="s">
        <v>946</v>
      </c>
      <c r="BJ15" t="s">
        <v>946</v>
      </c>
      <c r="BK15" t="s">
        <v>946</v>
      </c>
      <c r="BL15" t="s">
        <v>946</v>
      </c>
      <c r="BM15" t="s">
        <v>946</v>
      </c>
      <c r="BN15" t="s">
        <v>946</v>
      </c>
      <c r="BO15" t="s">
        <v>946</v>
      </c>
      <c r="BP15" t="s">
        <v>946</v>
      </c>
      <c r="BQ15" t="s">
        <v>946</v>
      </c>
      <c r="BR15" t="s">
        <v>946</v>
      </c>
      <c r="BS15" t="s">
        <v>946</v>
      </c>
      <c r="BT15" t="s">
        <v>946</v>
      </c>
      <c r="BU15" t="s">
        <v>946</v>
      </c>
      <c r="BV15" t="s">
        <v>946</v>
      </c>
      <c r="BW15" t="s">
        <v>946</v>
      </c>
      <c r="BX15" t="s">
        <v>946</v>
      </c>
      <c r="BY15" t="s">
        <v>946</v>
      </c>
      <c r="BZ15" t="s">
        <v>946</v>
      </c>
      <c r="CA15" t="s">
        <v>946</v>
      </c>
    </row>
    <row r="16" spans="1:79" x14ac:dyDescent="0.2">
      <c r="A16" t="s">
        <v>70</v>
      </c>
      <c r="B16" t="s">
        <v>946</v>
      </c>
      <c r="C16" t="s">
        <v>946</v>
      </c>
      <c r="D16" t="s">
        <v>946</v>
      </c>
      <c r="E16" t="s">
        <v>946</v>
      </c>
      <c r="F16" t="s">
        <v>70</v>
      </c>
      <c r="G16" t="s">
        <v>946</v>
      </c>
      <c r="H16" t="s">
        <v>946</v>
      </c>
      <c r="I16" t="s">
        <v>946</v>
      </c>
      <c r="J16" t="s">
        <v>946</v>
      </c>
      <c r="K16" t="s">
        <v>946</v>
      </c>
      <c r="L16" t="s">
        <v>946</v>
      </c>
      <c r="M16" t="s">
        <v>946</v>
      </c>
      <c r="N16" t="s">
        <v>946</v>
      </c>
      <c r="O16" t="s">
        <v>946</v>
      </c>
      <c r="P16" t="s">
        <v>946</v>
      </c>
      <c r="Q16" t="s">
        <v>946</v>
      </c>
      <c r="R16" t="s">
        <v>946</v>
      </c>
      <c r="S16" t="s">
        <v>946</v>
      </c>
      <c r="T16" t="s">
        <v>946</v>
      </c>
      <c r="U16" t="s">
        <v>946</v>
      </c>
      <c r="V16" t="s">
        <v>946</v>
      </c>
      <c r="W16" t="s">
        <v>946</v>
      </c>
      <c r="X16" t="s">
        <v>946</v>
      </c>
      <c r="Y16" t="s">
        <v>946</v>
      </c>
      <c r="Z16" t="s">
        <v>946</v>
      </c>
      <c r="AA16" t="s">
        <v>946</v>
      </c>
      <c r="AB16" t="s">
        <v>946</v>
      </c>
      <c r="AC16" t="s">
        <v>946</v>
      </c>
      <c r="AD16" t="s">
        <v>946</v>
      </c>
      <c r="AE16" t="s">
        <v>946</v>
      </c>
      <c r="AF16" t="s">
        <v>946</v>
      </c>
      <c r="AG16" t="s">
        <v>946</v>
      </c>
      <c r="AH16" t="s">
        <v>946</v>
      </c>
      <c r="AI16" t="s">
        <v>946</v>
      </c>
      <c r="AJ16" t="s">
        <v>946</v>
      </c>
      <c r="AK16" t="s">
        <v>946</v>
      </c>
      <c r="AL16" t="s">
        <v>946</v>
      </c>
      <c r="AM16" t="s">
        <v>946</v>
      </c>
      <c r="AN16" t="s">
        <v>946</v>
      </c>
      <c r="AO16" t="s">
        <v>946</v>
      </c>
      <c r="AP16" t="s">
        <v>946</v>
      </c>
      <c r="AQ16" t="s">
        <v>946</v>
      </c>
      <c r="AR16" t="s">
        <v>946</v>
      </c>
      <c r="AS16" t="s">
        <v>946</v>
      </c>
      <c r="AT16" t="s">
        <v>946</v>
      </c>
      <c r="AU16" t="s">
        <v>946</v>
      </c>
      <c r="AV16" t="s">
        <v>946</v>
      </c>
      <c r="AW16" t="s">
        <v>946</v>
      </c>
      <c r="AX16" t="s">
        <v>946</v>
      </c>
      <c r="AY16" t="s">
        <v>946</v>
      </c>
      <c r="AZ16" t="s">
        <v>70</v>
      </c>
      <c r="BA16" t="s">
        <v>946</v>
      </c>
      <c r="BB16" t="s">
        <v>70</v>
      </c>
      <c r="BC16" t="s">
        <v>946</v>
      </c>
      <c r="BD16" t="s">
        <v>70</v>
      </c>
      <c r="BE16" t="s">
        <v>946</v>
      </c>
      <c r="BF16" t="s">
        <v>946</v>
      </c>
      <c r="BG16" t="s">
        <v>946</v>
      </c>
      <c r="BH16" t="s">
        <v>946</v>
      </c>
      <c r="BI16" t="s">
        <v>946</v>
      </c>
      <c r="BJ16" t="s">
        <v>946</v>
      </c>
      <c r="BK16" t="s">
        <v>946</v>
      </c>
      <c r="BL16" t="s">
        <v>946</v>
      </c>
      <c r="BM16" t="s">
        <v>946</v>
      </c>
      <c r="BN16" t="s">
        <v>946</v>
      </c>
      <c r="BO16" t="s">
        <v>946</v>
      </c>
      <c r="BP16" t="s">
        <v>946</v>
      </c>
      <c r="BQ16" t="s">
        <v>946</v>
      </c>
      <c r="BR16" t="s">
        <v>946</v>
      </c>
      <c r="BS16" t="s">
        <v>946</v>
      </c>
      <c r="BT16" t="s">
        <v>946</v>
      </c>
      <c r="BU16" t="s">
        <v>946</v>
      </c>
      <c r="BV16" t="s">
        <v>946</v>
      </c>
      <c r="BW16" t="s">
        <v>946</v>
      </c>
      <c r="BX16" t="s">
        <v>946</v>
      </c>
      <c r="BY16" t="s">
        <v>946</v>
      </c>
      <c r="BZ16" t="s">
        <v>946</v>
      </c>
      <c r="CA16" t="s">
        <v>946</v>
      </c>
    </row>
    <row r="17" spans="1:79" x14ac:dyDescent="0.2">
      <c r="A17" t="s">
        <v>71</v>
      </c>
      <c r="B17" t="s">
        <v>71</v>
      </c>
      <c r="C17" t="s">
        <v>946</v>
      </c>
      <c r="D17" t="s">
        <v>946</v>
      </c>
      <c r="E17" t="s">
        <v>946</v>
      </c>
      <c r="F17" t="s">
        <v>946</v>
      </c>
      <c r="G17" t="s">
        <v>946</v>
      </c>
      <c r="H17" t="s">
        <v>946</v>
      </c>
      <c r="I17" t="s">
        <v>946</v>
      </c>
      <c r="J17" t="s">
        <v>946</v>
      </c>
      <c r="K17" t="s">
        <v>946</v>
      </c>
      <c r="L17" t="s">
        <v>946</v>
      </c>
      <c r="M17" t="s">
        <v>946</v>
      </c>
      <c r="N17" t="s">
        <v>946</v>
      </c>
      <c r="O17" t="s">
        <v>946</v>
      </c>
      <c r="P17" t="s">
        <v>946</v>
      </c>
      <c r="Q17" t="s">
        <v>946</v>
      </c>
      <c r="R17" t="s">
        <v>946</v>
      </c>
      <c r="S17" t="s">
        <v>946</v>
      </c>
      <c r="T17" t="s">
        <v>946</v>
      </c>
      <c r="U17" t="s">
        <v>946</v>
      </c>
      <c r="V17" t="s">
        <v>946</v>
      </c>
      <c r="W17" t="s">
        <v>946</v>
      </c>
      <c r="X17" t="s">
        <v>946</v>
      </c>
      <c r="Y17" t="s">
        <v>946</v>
      </c>
      <c r="Z17" t="s">
        <v>946</v>
      </c>
      <c r="AA17" t="s">
        <v>946</v>
      </c>
      <c r="AB17" t="s">
        <v>946</v>
      </c>
      <c r="AC17" t="s">
        <v>946</v>
      </c>
      <c r="AD17" t="s">
        <v>946</v>
      </c>
      <c r="AE17" t="s">
        <v>946</v>
      </c>
      <c r="AF17" t="s">
        <v>71</v>
      </c>
      <c r="AG17" t="s">
        <v>71</v>
      </c>
      <c r="AH17" t="s">
        <v>946</v>
      </c>
      <c r="AI17" t="s">
        <v>946</v>
      </c>
      <c r="AJ17" t="s">
        <v>946</v>
      </c>
      <c r="AK17" t="s">
        <v>946</v>
      </c>
      <c r="AL17" t="s">
        <v>946</v>
      </c>
      <c r="AM17" t="s">
        <v>946</v>
      </c>
      <c r="AN17" t="s">
        <v>946</v>
      </c>
      <c r="AO17" t="s">
        <v>946</v>
      </c>
      <c r="AP17" t="s">
        <v>946</v>
      </c>
      <c r="AQ17" t="s">
        <v>946</v>
      </c>
      <c r="AR17" t="s">
        <v>946</v>
      </c>
      <c r="AS17" t="s">
        <v>946</v>
      </c>
      <c r="AT17" t="s">
        <v>946</v>
      </c>
      <c r="AU17" t="s">
        <v>946</v>
      </c>
      <c r="AV17" t="s">
        <v>946</v>
      </c>
      <c r="AW17" t="s">
        <v>946</v>
      </c>
      <c r="AX17" t="s">
        <v>946</v>
      </c>
      <c r="AY17" t="s">
        <v>946</v>
      </c>
      <c r="AZ17" t="s">
        <v>946</v>
      </c>
      <c r="BA17" t="s">
        <v>946</v>
      </c>
      <c r="BB17" t="s">
        <v>946</v>
      </c>
      <c r="BC17" t="s">
        <v>946</v>
      </c>
      <c r="BD17" t="s">
        <v>946</v>
      </c>
      <c r="BE17" t="s">
        <v>946</v>
      </c>
      <c r="BF17" t="s">
        <v>946</v>
      </c>
      <c r="BG17" t="s">
        <v>946</v>
      </c>
      <c r="BH17" t="s">
        <v>946</v>
      </c>
      <c r="BI17" t="s">
        <v>946</v>
      </c>
      <c r="BJ17" t="s">
        <v>946</v>
      </c>
      <c r="BK17" t="s">
        <v>946</v>
      </c>
      <c r="BL17" t="s">
        <v>946</v>
      </c>
      <c r="BM17" t="s">
        <v>946</v>
      </c>
      <c r="BN17" t="s">
        <v>946</v>
      </c>
      <c r="BO17" t="s">
        <v>946</v>
      </c>
      <c r="BP17" t="s">
        <v>946</v>
      </c>
      <c r="BQ17" t="s">
        <v>946</v>
      </c>
      <c r="BR17" t="s">
        <v>946</v>
      </c>
      <c r="BS17" t="s">
        <v>946</v>
      </c>
      <c r="BT17" t="s">
        <v>946</v>
      </c>
      <c r="BU17" t="s">
        <v>946</v>
      </c>
      <c r="BV17" t="s">
        <v>946</v>
      </c>
      <c r="BW17" t="s">
        <v>946</v>
      </c>
      <c r="BX17" t="s">
        <v>946</v>
      </c>
      <c r="BY17" t="s">
        <v>946</v>
      </c>
      <c r="BZ17" t="s">
        <v>946</v>
      </c>
      <c r="CA17" t="s">
        <v>946</v>
      </c>
    </row>
    <row r="18" spans="1:79" x14ac:dyDescent="0.2">
      <c r="A18" t="s">
        <v>16</v>
      </c>
      <c r="B18" t="s">
        <v>16</v>
      </c>
      <c r="C18" t="s">
        <v>946</v>
      </c>
      <c r="D18" t="s">
        <v>946</v>
      </c>
      <c r="E18" t="s">
        <v>16</v>
      </c>
      <c r="F18" t="s">
        <v>16</v>
      </c>
      <c r="G18" t="s">
        <v>16</v>
      </c>
      <c r="H18" t="s">
        <v>946</v>
      </c>
      <c r="I18" t="s">
        <v>946</v>
      </c>
      <c r="J18" t="s">
        <v>946</v>
      </c>
      <c r="K18" t="s">
        <v>16</v>
      </c>
      <c r="L18" t="s">
        <v>946</v>
      </c>
      <c r="M18" t="s">
        <v>946</v>
      </c>
      <c r="N18" t="s">
        <v>946</v>
      </c>
      <c r="O18" t="s">
        <v>946</v>
      </c>
      <c r="P18" t="s">
        <v>946</v>
      </c>
      <c r="Q18" t="s">
        <v>946</v>
      </c>
      <c r="R18" t="s">
        <v>946</v>
      </c>
      <c r="S18" t="s">
        <v>946</v>
      </c>
      <c r="T18" t="s">
        <v>946</v>
      </c>
      <c r="U18" t="s">
        <v>946</v>
      </c>
      <c r="V18" t="s">
        <v>946</v>
      </c>
      <c r="W18" t="s">
        <v>946</v>
      </c>
      <c r="X18" t="s">
        <v>946</v>
      </c>
      <c r="Y18" t="s">
        <v>946</v>
      </c>
      <c r="Z18" t="s">
        <v>946</v>
      </c>
      <c r="AA18" t="s">
        <v>16</v>
      </c>
      <c r="AB18" t="s">
        <v>16</v>
      </c>
      <c r="AC18" t="s">
        <v>946</v>
      </c>
      <c r="AD18" t="s">
        <v>946</v>
      </c>
      <c r="AE18" t="s">
        <v>16</v>
      </c>
      <c r="AF18" t="s">
        <v>16</v>
      </c>
      <c r="AG18" t="s">
        <v>16</v>
      </c>
      <c r="AH18" t="s">
        <v>16</v>
      </c>
      <c r="AI18" t="s">
        <v>16</v>
      </c>
      <c r="AJ18" t="s">
        <v>946</v>
      </c>
      <c r="AK18" t="s">
        <v>946</v>
      </c>
      <c r="AL18" t="s">
        <v>946</v>
      </c>
      <c r="AM18" t="s">
        <v>16</v>
      </c>
      <c r="AN18" t="s">
        <v>16</v>
      </c>
      <c r="AO18" t="s">
        <v>946</v>
      </c>
      <c r="AP18" t="s">
        <v>946</v>
      </c>
      <c r="AQ18" t="s">
        <v>946</v>
      </c>
      <c r="AR18" t="s">
        <v>16</v>
      </c>
      <c r="AS18" t="s">
        <v>946</v>
      </c>
      <c r="AT18" t="s">
        <v>946</v>
      </c>
      <c r="AU18" t="s">
        <v>946</v>
      </c>
      <c r="AV18" t="s">
        <v>16</v>
      </c>
      <c r="AW18" t="s">
        <v>946</v>
      </c>
      <c r="AX18" t="s">
        <v>16</v>
      </c>
      <c r="AY18" t="s">
        <v>16</v>
      </c>
      <c r="AZ18" t="s">
        <v>946</v>
      </c>
      <c r="BA18" t="s">
        <v>16</v>
      </c>
      <c r="BB18" t="s">
        <v>946</v>
      </c>
      <c r="BC18" t="s">
        <v>946</v>
      </c>
      <c r="BD18" t="s">
        <v>946</v>
      </c>
      <c r="BE18" t="s">
        <v>946</v>
      </c>
      <c r="BF18" t="s">
        <v>946</v>
      </c>
      <c r="BG18" t="s">
        <v>946</v>
      </c>
      <c r="BH18" t="s">
        <v>946</v>
      </c>
      <c r="BI18" t="s">
        <v>946</v>
      </c>
      <c r="BJ18" t="s">
        <v>946</v>
      </c>
      <c r="BK18" t="s">
        <v>946</v>
      </c>
      <c r="BL18" t="s">
        <v>946</v>
      </c>
      <c r="BM18" t="s">
        <v>946</v>
      </c>
      <c r="BN18" t="s">
        <v>946</v>
      </c>
      <c r="BO18" t="s">
        <v>946</v>
      </c>
      <c r="BP18" t="s">
        <v>946</v>
      </c>
      <c r="BQ18" t="s">
        <v>946</v>
      </c>
      <c r="BR18" t="s">
        <v>946</v>
      </c>
      <c r="BS18" t="s">
        <v>946</v>
      </c>
      <c r="BT18" t="s">
        <v>16</v>
      </c>
      <c r="BU18" t="s">
        <v>946</v>
      </c>
      <c r="BV18" t="s">
        <v>946</v>
      </c>
      <c r="BW18" t="s">
        <v>946</v>
      </c>
      <c r="BX18" t="s">
        <v>16</v>
      </c>
      <c r="BY18" t="s">
        <v>946</v>
      </c>
      <c r="BZ18" t="s">
        <v>946</v>
      </c>
      <c r="CA18" t="s">
        <v>16</v>
      </c>
    </row>
    <row r="19" spans="1:79" x14ac:dyDescent="0.2">
      <c r="A19" t="s">
        <v>397</v>
      </c>
      <c r="B19" t="s">
        <v>946</v>
      </c>
      <c r="C19" t="s">
        <v>946</v>
      </c>
      <c r="D19" t="s">
        <v>946</v>
      </c>
      <c r="E19" t="s">
        <v>397</v>
      </c>
      <c r="F19" t="s">
        <v>946</v>
      </c>
      <c r="G19" t="s">
        <v>946</v>
      </c>
      <c r="H19" t="s">
        <v>946</v>
      </c>
      <c r="I19" t="s">
        <v>946</v>
      </c>
      <c r="J19" t="s">
        <v>946</v>
      </c>
      <c r="K19" t="s">
        <v>946</v>
      </c>
      <c r="L19" t="s">
        <v>946</v>
      </c>
      <c r="M19" t="s">
        <v>946</v>
      </c>
      <c r="N19" t="s">
        <v>946</v>
      </c>
      <c r="O19" t="s">
        <v>946</v>
      </c>
      <c r="P19" t="s">
        <v>946</v>
      </c>
      <c r="Q19" t="s">
        <v>946</v>
      </c>
      <c r="R19" t="s">
        <v>946</v>
      </c>
      <c r="S19" t="s">
        <v>946</v>
      </c>
      <c r="T19" t="s">
        <v>946</v>
      </c>
      <c r="U19" t="s">
        <v>946</v>
      </c>
      <c r="V19" t="s">
        <v>946</v>
      </c>
      <c r="W19" t="s">
        <v>946</v>
      </c>
      <c r="X19" t="s">
        <v>946</v>
      </c>
      <c r="Y19" t="s">
        <v>946</v>
      </c>
      <c r="Z19" t="s">
        <v>946</v>
      </c>
      <c r="AA19" t="s">
        <v>946</v>
      </c>
      <c r="AB19" t="s">
        <v>946</v>
      </c>
      <c r="AC19" t="s">
        <v>946</v>
      </c>
      <c r="AD19" t="s">
        <v>946</v>
      </c>
      <c r="AE19" t="s">
        <v>946</v>
      </c>
      <c r="AF19" t="s">
        <v>946</v>
      </c>
      <c r="AG19" t="s">
        <v>946</v>
      </c>
      <c r="AH19" t="s">
        <v>946</v>
      </c>
      <c r="AI19" t="s">
        <v>946</v>
      </c>
      <c r="AJ19" t="s">
        <v>397</v>
      </c>
      <c r="AK19" t="s">
        <v>946</v>
      </c>
      <c r="AL19" t="s">
        <v>946</v>
      </c>
      <c r="AM19" t="s">
        <v>397</v>
      </c>
      <c r="AN19" t="s">
        <v>397</v>
      </c>
      <c r="AO19" t="s">
        <v>397</v>
      </c>
      <c r="AP19" t="s">
        <v>946</v>
      </c>
      <c r="AQ19" t="s">
        <v>946</v>
      </c>
      <c r="AR19" t="s">
        <v>946</v>
      </c>
      <c r="AS19" t="s">
        <v>946</v>
      </c>
      <c r="AT19" t="s">
        <v>946</v>
      </c>
      <c r="AU19" t="s">
        <v>946</v>
      </c>
      <c r="AV19" t="s">
        <v>946</v>
      </c>
      <c r="AW19" t="s">
        <v>946</v>
      </c>
      <c r="AX19" t="s">
        <v>946</v>
      </c>
      <c r="AY19" t="s">
        <v>946</v>
      </c>
      <c r="AZ19" t="s">
        <v>946</v>
      </c>
      <c r="BA19" t="s">
        <v>946</v>
      </c>
      <c r="BB19" t="s">
        <v>946</v>
      </c>
      <c r="BC19" t="s">
        <v>946</v>
      </c>
      <c r="BD19" t="s">
        <v>946</v>
      </c>
      <c r="BE19" t="s">
        <v>946</v>
      </c>
      <c r="BF19" t="s">
        <v>946</v>
      </c>
      <c r="BG19" t="s">
        <v>946</v>
      </c>
      <c r="BH19" t="s">
        <v>946</v>
      </c>
      <c r="BI19" t="s">
        <v>946</v>
      </c>
      <c r="BJ19" t="s">
        <v>946</v>
      </c>
      <c r="BK19" t="s">
        <v>946</v>
      </c>
      <c r="BL19" t="s">
        <v>946</v>
      </c>
      <c r="BM19" t="s">
        <v>946</v>
      </c>
      <c r="BN19" t="s">
        <v>946</v>
      </c>
      <c r="BO19" t="s">
        <v>946</v>
      </c>
      <c r="BP19" t="s">
        <v>946</v>
      </c>
      <c r="BQ19" t="s">
        <v>946</v>
      </c>
      <c r="BR19" t="s">
        <v>946</v>
      </c>
      <c r="BS19" t="s">
        <v>946</v>
      </c>
      <c r="BT19" t="s">
        <v>946</v>
      </c>
      <c r="BU19" t="s">
        <v>946</v>
      </c>
      <c r="BV19" t="s">
        <v>946</v>
      </c>
      <c r="BW19" t="s">
        <v>946</v>
      </c>
      <c r="BX19" t="s">
        <v>946</v>
      </c>
      <c r="BY19" t="s">
        <v>946</v>
      </c>
      <c r="BZ19" t="s">
        <v>946</v>
      </c>
      <c r="CA19" t="s">
        <v>946</v>
      </c>
    </row>
    <row r="20" spans="1:79" x14ac:dyDescent="0.2">
      <c r="A20" t="s">
        <v>399</v>
      </c>
      <c r="B20" t="s">
        <v>946</v>
      </c>
      <c r="C20" t="s">
        <v>946</v>
      </c>
      <c r="D20" t="s">
        <v>946</v>
      </c>
      <c r="E20" t="s">
        <v>946</v>
      </c>
      <c r="F20" t="s">
        <v>946</v>
      </c>
      <c r="G20" t="s">
        <v>946</v>
      </c>
      <c r="H20" t="s">
        <v>946</v>
      </c>
      <c r="I20" t="s">
        <v>946</v>
      </c>
      <c r="J20" t="s">
        <v>946</v>
      </c>
      <c r="K20" t="s">
        <v>946</v>
      </c>
      <c r="L20" t="s">
        <v>946</v>
      </c>
      <c r="M20" t="s">
        <v>946</v>
      </c>
      <c r="N20" t="s">
        <v>946</v>
      </c>
      <c r="O20" t="s">
        <v>946</v>
      </c>
      <c r="P20" t="s">
        <v>946</v>
      </c>
      <c r="Q20" t="s">
        <v>946</v>
      </c>
      <c r="R20" t="s">
        <v>946</v>
      </c>
      <c r="S20" t="s">
        <v>946</v>
      </c>
      <c r="T20" t="s">
        <v>399</v>
      </c>
      <c r="U20" t="s">
        <v>399</v>
      </c>
      <c r="V20" t="s">
        <v>946</v>
      </c>
      <c r="W20" t="s">
        <v>946</v>
      </c>
      <c r="X20" t="s">
        <v>399</v>
      </c>
      <c r="Y20" t="s">
        <v>399</v>
      </c>
      <c r="Z20" t="s">
        <v>946</v>
      </c>
      <c r="AA20" t="s">
        <v>946</v>
      </c>
      <c r="AB20" t="s">
        <v>946</v>
      </c>
      <c r="AC20" t="s">
        <v>946</v>
      </c>
      <c r="AD20" t="s">
        <v>946</v>
      </c>
      <c r="AE20" t="s">
        <v>946</v>
      </c>
      <c r="AF20" t="s">
        <v>946</v>
      </c>
      <c r="AG20" t="s">
        <v>399</v>
      </c>
      <c r="AH20" t="s">
        <v>946</v>
      </c>
      <c r="AI20" t="s">
        <v>946</v>
      </c>
      <c r="AJ20" t="s">
        <v>946</v>
      </c>
      <c r="AK20" t="s">
        <v>946</v>
      </c>
      <c r="AL20" t="s">
        <v>946</v>
      </c>
      <c r="AM20" t="s">
        <v>946</v>
      </c>
      <c r="AN20" t="s">
        <v>946</v>
      </c>
      <c r="AO20" t="s">
        <v>946</v>
      </c>
      <c r="AP20" t="s">
        <v>399</v>
      </c>
      <c r="AQ20" t="s">
        <v>946</v>
      </c>
      <c r="AR20" t="s">
        <v>399</v>
      </c>
      <c r="AS20" t="s">
        <v>399</v>
      </c>
      <c r="AT20" t="s">
        <v>946</v>
      </c>
      <c r="AU20" t="s">
        <v>399</v>
      </c>
      <c r="AV20" t="s">
        <v>946</v>
      </c>
      <c r="AW20" t="s">
        <v>399</v>
      </c>
      <c r="AX20" t="s">
        <v>399</v>
      </c>
      <c r="AY20" t="s">
        <v>946</v>
      </c>
      <c r="AZ20" t="s">
        <v>946</v>
      </c>
      <c r="BA20" t="s">
        <v>946</v>
      </c>
      <c r="BB20" t="s">
        <v>946</v>
      </c>
      <c r="BC20" t="s">
        <v>946</v>
      </c>
      <c r="BD20" t="s">
        <v>946</v>
      </c>
      <c r="BE20" t="s">
        <v>946</v>
      </c>
      <c r="BF20" t="s">
        <v>946</v>
      </c>
      <c r="BG20" t="s">
        <v>946</v>
      </c>
      <c r="BH20" t="s">
        <v>946</v>
      </c>
      <c r="BI20" t="s">
        <v>946</v>
      </c>
      <c r="BJ20" t="s">
        <v>946</v>
      </c>
      <c r="BK20" t="s">
        <v>946</v>
      </c>
      <c r="BL20" t="s">
        <v>946</v>
      </c>
      <c r="BM20" t="s">
        <v>946</v>
      </c>
      <c r="BN20" t="s">
        <v>946</v>
      </c>
      <c r="BO20" t="s">
        <v>946</v>
      </c>
      <c r="BP20" t="s">
        <v>946</v>
      </c>
      <c r="BQ20" t="s">
        <v>399</v>
      </c>
      <c r="BR20" t="s">
        <v>399</v>
      </c>
      <c r="BS20" t="s">
        <v>399</v>
      </c>
      <c r="BT20" t="s">
        <v>399</v>
      </c>
      <c r="BU20" t="s">
        <v>946</v>
      </c>
      <c r="BV20" t="s">
        <v>399</v>
      </c>
      <c r="BW20" t="s">
        <v>946</v>
      </c>
      <c r="BX20" t="s">
        <v>946</v>
      </c>
      <c r="BY20" t="s">
        <v>946</v>
      </c>
      <c r="BZ20" t="s">
        <v>399</v>
      </c>
      <c r="CA20" t="s">
        <v>946</v>
      </c>
    </row>
    <row r="21" spans="1:79" x14ac:dyDescent="0.2">
      <c r="A21" t="s">
        <v>609</v>
      </c>
      <c r="B21" t="s">
        <v>946</v>
      </c>
      <c r="C21" t="s">
        <v>946</v>
      </c>
      <c r="D21" t="s">
        <v>946</v>
      </c>
      <c r="E21" t="s">
        <v>946</v>
      </c>
      <c r="F21" t="s">
        <v>946</v>
      </c>
      <c r="G21" t="s">
        <v>946</v>
      </c>
      <c r="H21" t="s">
        <v>946</v>
      </c>
      <c r="I21" t="s">
        <v>946</v>
      </c>
      <c r="J21" t="s">
        <v>946</v>
      </c>
      <c r="K21" t="s">
        <v>946</v>
      </c>
      <c r="L21" t="s">
        <v>609</v>
      </c>
      <c r="M21" t="s">
        <v>609</v>
      </c>
      <c r="N21" t="s">
        <v>946</v>
      </c>
      <c r="O21" t="s">
        <v>946</v>
      </c>
      <c r="P21" t="s">
        <v>946</v>
      </c>
      <c r="Q21" t="s">
        <v>946</v>
      </c>
      <c r="R21" t="s">
        <v>946</v>
      </c>
      <c r="S21" t="s">
        <v>946</v>
      </c>
      <c r="T21" t="s">
        <v>946</v>
      </c>
      <c r="U21" t="s">
        <v>946</v>
      </c>
      <c r="V21" t="s">
        <v>946</v>
      </c>
      <c r="W21" t="s">
        <v>946</v>
      </c>
      <c r="X21" t="s">
        <v>946</v>
      </c>
      <c r="Y21" t="s">
        <v>946</v>
      </c>
      <c r="Z21" t="s">
        <v>946</v>
      </c>
      <c r="AA21" t="s">
        <v>946</v>
      </c>
      <c r="AB21" t="s">
        <v>946</v>
      </c>
      <c r="AC21" t="s">
        <v>946</v>
      </c>
      <c r="AD21" t="s">
        <v>946</v>
      </c>
      <c r="AE21" t="s">
        <v>946</v>
      </c>
      <c r="AF21" t="s">
        <v>946</v>
      </c>
      <c r="AG21" t="s">
        <v>946</v>
      </c>
      <c r="AH21" t="s">
        <v>946</v>
      </c>
      <c r="AI21" t="s">
        <v>946</v>
      </c>
      <c r="AJ21" t="s">
        <v>946</v>
      </c>
      <c r="AK21" t="s">
        <v>946</v>
      </c>
      <c r="AL21" t="s">
        <v>946</v>
      </c>
      <c r="AM21" t="s">
        <v>946</v>
      </c>
      <c r="AN21" t="s">
        <v>946</v>
      </c>
      <c r="AO21" t="s">
        <v>946</v>
      </c>
      <c r="AP21" t="s">
        <v>946</v>
      </c>
      <c r="AQ21" t="s">
        <v>946</v>
      </c>
      <c r="AR21" t="s">
        <v>946</v>
      </c>
      <c r="AS21" t="s">
        <v>946</v>
      </c>
      <c r="AT21" t="s">
        <v>946</v>
      </c>
      <c r="AU21" t="s">
        <v>946</v>
      </c>
      <c r="AV21" t="s">
        <v>946</v>
      </c>
      <c r="AW21" t="s">
        <v>946</v>
      </c>
      <c r="AX21" t="s">
        <v>609</v>
      </c>
      <c r="AY21" t="s">
        <v>946</v>
      </c>
      <c r="AZ21" t="s">
        <v>946</v>
      </c>
      <c r="BA21" t="s">
        <v>946</v>
      </c>
      <c r="BB21" t="s">
        <v>946</v>
      </c>
      <c r="BC21" t="s">
        <v>946</v>
      </c>
      <c r="BD21" t="s">
        <v>946</v>
      </c>
      <c r="BE21" t="s">
        <v>946</v>
      </c>
      <c r="BF21" t="s">
        <v>946</v>
      </c>
      <c r="BG21" t="s">
        <v>946</v>
      </c>
      <c r="BH21" t="s">
        <v>946</v>
      </c>
      <c r="BI21" t="s">
        <v>946</v>
      </c>
      <c r="BJ21" t="s">
        <v>946</v>
      </c>
      <c r="BK21" t="s">
        <v>946</v>
      </c>
      <c r="BL21" t="s">
        <v>946</v>
      </c>
      <c r="BM21" t="s">
        <v>946</v>
      </c>
      <c r="BN21" t="s">
        <v>946</v>
      </c>
      <c r="BO21" t="s">
        <v>946</v>
      </c>
      <c r="BP21" t="s">
        <v>946</v>
      </c>
      <c r="BQ21" t="s">
        <v>946</v>
      </c>
      <c r="BR21" t="s">
        <v>946</v>
      </c>
      <c r="BS21" t="s">
        <v>946</v>
      </c>
      <c r="BT21" t="s">
        <v>946</v>
      </c>
      <c r="BU21" t="s">
        <v>946</v>
      </c>
      <c r="BV21" t="s">
        <v>946</v>
      </c>
      <c r="BW21" t="s">
        <v>946</v>
      </c>
      <c r="BX21" t="s">
        <v>946</v>
      </c>
      <c r="BY21" t="s">
        <v>946</v>
      </c>
      <c r="BZ21" t="s">
        <v>946</v>
      </c>
      <c r="CA21" t="s">
        <v>946</v>
      </c>
    </row>
    <row r="22" spans="1:79" x14ac:dyDescent="0.2">
      <c r="A22" t="s">
        <v>915</v>
      </c>
      <c r="B22" t="s">
        <v>946</v>
      </c>
      <c r="C22" t="s">
        <v>946</v>
      </c>
      <c r="D22" t="s">
        <v>946</v>
      </c>
      <c r="E22" t="s">
        <v>946</v>
      </c>
      <c r="F22" t="s">
        <v>915</v>
      </c>
      <c r="G22" t="s">
        <v>946</v>
      </c>
      <c r="H22" t="s">
        <v>946</v>
      </c>
      <c r="I22" t="s">
        <v>946</v>
      </c>
      <c r="J22" t="s">
        <v>946</v>
      </c>
      <c r="K22" t="s">
        <v>946</v>
      </c>
      <c r="L22" t="s">
        <v>946</v>
      </c>
      <c r="M22" t="s">
        <v>946</v>
      </c>
      <c r="N22" t="s">
        <v>946</v>
      </c>
      <c r="O22" t="s">
        <v>946</v>
      </c>
      <c r="P22" t="s">
        <v>946</v>
      </c>
      <c r="Q22" t="s">
        <v>946</v>
      </c>
      <c r="R22" t="s">
        <v>946</v>
      </c>
      <c r="S22" t="s">
        <v>946</v>
      </c>
      <c r="T22" t="s">
        <v>946</v>
      </c>
      <c r="U22" t="s">
        <v>946</v>
      </c>
      <c r="V22" t="s">
        <v>946</v>
      </c>
      <c r="W22" t="s">
        <v>946</v>
      </c>
      <c r="X22" t="s">
        <v>946</v>
      </c>
      <c r="Y22" t="s">
        <v>946</v>
      </c>
      <c r="Z22" t="s">
        <v>946</v>
      </c>
      <c r="AA22" t="s">
        <v>946</v>
      </c>
      <c r="AB22" t="s">
        <v>946</v>
      </c>
      <c r="AC22" t="s">
        <v>946</v>
      </c>
      <c r="AD22" t="s">
        <v>946</v>
      </c>
      <c r="AE22" t="s">
        <v>946</v>
      </c>
      <c r="AF22" t="s">
        <v>915</v>
      </c>
      <c r="AG22" t="s">
        <v>915</v>
      </c>
      <c r="AH22" t="s">
        <v>915</v>
      </c>
      <c r="AI22" t="s">
        <v>946</v>
      </c>
      <c r="AJ22" t="s">
        <v>946</v>
      </c>
      <c r="AK22" t="s">
        <v>946</v>
      </c>
      <c r="AL22" t="s">
        <v>946</v>
      </c>
      <c r="AM22" t="s">
        <v>946</v>
      </c>
      <c r="AN22" t="s">
        <v>946</v>
      </c>
      <c r="AO22" t="s">
        <v>946</v>
      </c>
      <c r="AP22" t="s">
        <v>946</v>
      </c>
      <c r="AQ22" t="s">
        <v>946</v>
      </c>
      <c r="AR22" t="s">
        <v>946</v>
      </c>
      <c r="AS22" t="s">
        <v>946</v>
      </c>
      <c r="AT22" t="s">
        <v>946</v>
      </c>
      <c r="AU22" t="s">
        <v>946</v>
      </c>
      <c r="AV22" t="s">
        <v>946</v>
      </c>
      <c r="AW22" t="s">
        <v>946</v>
      </c>
      <c r="AX22" t="s">
        <v>946</v>
      </c>
      <c r="AY22" t="s">
        <v>946</v>
      </c>
      <c r="AZ22" t="s">
        <v>946</v>
      </c>
      <c r="BA22" t="s">
        <v>946</v>
      </c>
      <c r="BB22" t="s">
        <v>946</v>
      </c>
      <c r="BC22" t="s">
        <v>946</v>
      </c>
      <c r="BD22" t="s">
        <v>946</v>
      </c>
      <c r="BE22" t="s">
        <v>946</v>
      </c>
      <c r="BF22" t="s">
        <v>946</v>
      </c>
      <c r="BG22" t="s">
        <v>946</v>
      </c>
      <c r="BH22" t="s">
        <v>946</v>
      </c>
      <c r="BI22" t="s">
        <v>946</v>
      </c>
      <c r="BJ22" t="s">
        <v>946</v>
      </c>
      <c r="BK22" t="s">
        <v>946</v>
      </c>
      <c r="BL22" t="s">
        <v>946</v>
      </c>
      <c r="BM22" t="s">
        <v>946</v>
      </c>
      <c r="BN22" t="s">
        <v>946</v>
      </c>
      <c r="BO22" t="s">
        <v>946</v>
      </c>
      <c r="BP22" t="s">
        <v>946</v>
      </c>
      <c r="BQ22" t="s">
        <v>946</v>
      </c>
      <c r="BR22" t="s">
        <v>946</v>
      </c>
      <c r="BS22" t="s">
        <v>946</v>
      </c>
      <c r="BT22" t="s">
        <v>946</v>
      </c>
      <c r="BU22" t="s">
        <v>946</v>
      </c>
      <c r="BV22" t="s">
        <v>946</v>
      </c>
      <c r="BW22" t="s">
        <v>946</v>
      </c>
      <c r="BX22" t="s">
        <v>946</v>
      </c>
      <c r="BY22" t="s">
        <v>946</v>
      </c>
      <c r="BZ22" t="s">
        <v>946</v>
      </c>
      <c r="CA22" t="s">
        <v>946</v>
      </c>
    </row>
    <row r="23" spans="1:79" x14ac:dyDescent="0.2">
      <c r="A23" t="s">
        <v>19</v>
      </c>
      <c r="B23" t="s">
        <v>19</v>
      </c>
      <c r="C23" t="s">
        <v>946</v>
      </c>
      <c r="D23" t="s">
        <v>946</v>
      </c>
      <c r="E23" t="s">
        <v>946</v>
      </c>
      <c r="F23" t="s">
        <v>19</v>
      </c>
      <c r="G23" t="s">
        <v>946</v>
      </c>
      <c r="H23" t="s">
        <v>946</v>
      </c>
      <c r="I23" t="s">
        <v>946</v>
      </c>
      <c r="J23" t="s">
        <v>946</v>
      </c>
      <c r="K23" t="s">
        <v>946</v>
      </c>
      <c r="L23" t="s">
        <v>946</v>
      </c>
      <c r="M23" t="s">
        <v>946</v>
      </c>
      <c r="N23" t="s">
        <v>946</v>
      </c>
      <c r="O23" t="s">
        <v>946</v>
      </c>
      <c r="P23" t="s">
        <v>19</v>
      </c>
      <c r="Q23" t="s">
        <v>946</v>
      </c>
      <c r="R23" t="s">
        <v>946</v>
      </c>
      <c r="S23" t="s">
        <v>946</v>
      </c>
      <c r="T23" t="s">
        <v>946</v>
      </c>
      <c r="U23" t="s">
        <v>19</v>
      </c>
      <c r="V23" t="s">
        <v>946</v>
      </c>
      <c r="W23" t="s">
        <v>946</v>
      </c>
      <c r="X23" t="s">
        <v>19</v>
      </c>
      <c r="Y23" t="s">
        <v>19</v>
      </c>
      <c r="Z23" t="s">
        <v>946</v>
      </c>
      <c r="AA23" t="s">
        <v>946</v>
      </c>
      <c r="AB23" t="s">
        <v>946</v>
      </c>
      <c r="AC23" t="s">
        <v>946</v>
      </c>
      <c r="AD23" t="s">
        <v>946</v>
      </c>
      <c r="AE23" t="s">
        <v>19</v>
      </c>
      <c r="AF23" t="s">
        <v>19</v>
      </c>
      <c r="AG23" t="s">
        <v>19</v>
      </c>
      <c r="AH23" t="s">
        <v>19</v>
      </c>
      <c r="AI23" t="s">
        <v>946</v>
      </c>
      <c r="AJ23" t="s">
        <v>946</v>
      </c>
      <c r="AK23" t="s">
        <v>946</v>
      </c>
      <c r="AL23" t="s">
        <v>946</v>
      </c>
      <c r="AM23" t="s">
        <v>946</v>
      </c>
      <c r="AN23" t="s">
        <v>946</v>
      </c>
      <c r="AO23" t="s">
        <v>946</v>
      </c>
      <c r="AP23" t="s">
        <v>946</v>
      </c>
      <c r="AQ23" t="s">
        <v>946</v>
      </c>
      <c r="AR23" t="s">
        <v>946</v>
      </c>
      <c r="AS23" t="s">
        <v>946</v>
      </c>
      <c r="AT23" t="s">
        <v>946</v>
      </c>
      <c r="AU23" t="s">
        <v>19</v>
      </c>
      <c r="AV23" t="s">
        <v>946</v>
      </c>
      <c r="AW23" t="s">
        <v>946</v>
      </c>
      <c r="AX23" t="s">
        <v>946</v>
      </c>
      <c r="AY23" t="s">
        <v>946</v>
      </c>
      <c r="AZ23" t="s">
        <v>946</v>
      </c>
      <c r="BA23" t="s">
        <v>19</v>
      </c>
      <c r="BB23" t="s">
        <v>946</v>
      </c>
      <c r="BC23" t="s">
        <v>19</v>
      </c>
      <c r="BD23" t="s">
        <v>19</v>
      </c>
      <c r="BE23" t="s">
        <v>946</v>
      </c>
      <c r="BF23" t="s">
        <v>946</v>
      </c>
      <c r="BG23" t="s">
        <v>946</v>
      </c>
      <c r="BH23" t="s">
        <v>946</v>
      </c>
      <c r="BI23" t="s">
        <v>946</v>
      </c>
      <c r="BJ23" t="s">
        <v>946</v>
      </c>
      <c r="BK23" t="s">
        <v>946</v>
      </c>
      <c r="BL23" t="s">
        <v>946</v>
      </c>
      <c r="BM23" t="s">
        <v>946</v>
      </c>
      <c r="BN23" t="s">
        <v>946</v>
      </c>
      <c r="BO23" t="s">
        <v>946</v>
      </c>
      <c r="BP23" t="s">
        <v>946</v>
      </c>
      <c r="BQ23" t="s">
        <v>946</v>
      </c>
      <c r="BR23" t="s">
        <v>946</v>
      </c>
      <c r="BS23" t="s">
        <v>946</v>
      </c>
      <c r="BT23" t="s">
        <v>946</v>
      </c>
      <c r="BU23" t="s">
        <v>946</v>
      </c>
      <c r="BV23" t="s">
        <v>946</v>
      </c>
      <c r="BW23" t="s">
        <v>946</v>
      </c>
      <c r="BX23" t="s">
        <v>946</v>
      </c>
      <c r="BY23" t="s">
        <v>946</v>
      </c>
      <c r="BZ23" t="s">
        <v>946</v>
      </c>
      <c r="CA23" t="s">
        <v>946</v>
      </c>
    </row>
    <row r="24" spans="1:79" x14ac:dyDescent="0.2">
      <c r="A24" t="s">
        <v>473</v>
      </c>
      <c r="B24" t="s">
        <v>946</v>
      </c>
      <c r="C24" t="s">
        <v>946</v>
      </c>
      <c r="D24" t="s">
        <v>946</v>
      </c>
      <c r="E24" t="s">
        <v>946</v>
      </c>
      <c r="F24" t="s">
        <v>946</v>
      </c>
      <c r="G24" t="s">
        <v>946</v>
      </c>
      <c r="H24" t="s">
        <v>946</v>
      </c>
      <c r="I24" t="s">
        <v>946</v>
      </c>
      <c r="J24" t="s">
        <v>946</v>
      </c>
      <c r="K24" t="s">
        <v>473</v>
      </c>
      <c r="L24" t="s">
        <v>946</v>
      </c>
      <c r="M24" t="s">
        <v>946</v>
      </c>
      <c r="N24" t="s">
        <v>946</v>
      </c>
      <c r="O24" t="s">
        <v>946</v>
      </c>
      <c r="P24" t="s">
        <v>946</v>
      </c>
      <c r="Q24" t="s">
        <v>946</v>
      </c>
      <c r="R24" t="s">
        <v>946</v>
      </c>
      <c r="S24" t="s">
        <v>946</v>
      </c>
      <c r="T24" t="s">
        <v>946</v>
      </c>
      <c r="U24" t="s">
        <v>946</v>
      </c>
      <c r="V24" t="s">
        <v>946</v>
      </c>
      <c r="W24" t="s">
        <v>946</v>
      </c>
      <c r="X24" t="s">
        <v>946</v>
      </c>
      <c r="Y24" t="s">
        <v>946</v>
      </c>
      <c r="Z24" t="s">
        <v>946</v>
      </c>
      <c r="AA24" t="s">
        <v>946</v>
      </c>
      <c r="AB24" t="s">
        <v>946</v>
      </c>
      <c r="AC24" t="s">
        <v>946</v>
      </c>
      <c r="AD24" t="s">
        <v>946</v>
      </c>
      <c r="AE24" t="s">
        <v>946</v>
      </c>
      <c r="AF24" t="s">
        <v>946</v>
      </c>
      <c r="AG24" t="s">
        <v>946</v>
      </c>
      <c r="AH24" t="s">
        <v>946</v>
      </c>
      <c r="AI24" t="s">
        <v>946</v>
      </c>
      <c r="AJ24" t="s">
        <v>946</v>
      </c>
      <c r="AK24" t="s">
        <v>946</v>
      </c>
      <c r="AL24" t="s">
        <v>946</v>
      </c>
      <c r="AM24" t="s">
        <v>946</v>
      </c>
      <c r="AN24" t="s">
        <v>946</v>
      </c>
      <c r="AO24" t="s">
        <v>946</v>
      </c>
      <c r="AP24" t="s">
        <v>946</v>
      </c>
      <c r="AQ24" t="s">
        <v>946</v>
      </c>
      <c r="AR24" t="s">
        <v>946</v>
      </c>
      <c r="AS24" t="s">
        <v>946</v>
      </c>
      <c r="AT24" t="s">
        <v>946</v>
      </c>
      <c r="AU24" t="s">
        <v>946</v>
      </c>
      <c r="AV24" t="s">
        <v>946</v>
      </c>
      <c r="AW24" t="s">
        <v>946</v>
      </c>
      <c r="AX24" t="s">
        <v>946</v>
      </c>
      <c r="AY24" t="s">
        <v>946</v>
      </c>
      <c r="AZ24" t="s">
        <v>946</v>
      </c>
      <c r="BA24" t="s">
        <v>946</v>
      </c>
      <c r="BB24" t="s">
        <v>946</v>
      </c>
      <c r="BC24" t="s">
        <v>946</v>
      </c>
      <c r="BD24" t="s">
        <v>946</v>
      </c>
      <c r="BE24" t="s">
        <v>946</v>
      </c>
      <c r="BF24" t="s">
        <v>946</v>
      </c>
      <c r="BG24" t="s">
        <v>946</v>
      </c>
      <c r="BH24" t="s">
        <v>946</v>
      </c>
      <c r="BI24" t="s">
        <v>946</v>
      </c>
      <c r="BJ24" t="s">
        <v>946</v>
      </c>
      <c r="BK24" t="s">
        <v>946</v>
      </c>
      <c r="BL24" t="s">
        <v>946</v>
      </c>
      <c r="BM24" t="s">
        <v>946</v>
      </c>
      <c r="BN24" t="s">
        <v>946</v>
      </c>
      <c r="BO24" t="s">
        <v>946</v>
      </c>
      <c r="BP24" t="s">
        <v>946</v>
      </c>
      <c r="BQ24" t="s">
        <v>946</v>
      </c>
      <c r="BR24" t="s">
        <v>473</v>
      </c>
      <c r="BS24" t="s">
        <v>946</v>
      </c>
      <c r="BT24" t="s">
        <v>946</v>
      </c>
      <c r="BU24" t="s">
        <v>946</v>
      </c>
      <c r="BV24" t="s">
        <v>946</v>
      </c>
      <c r="BW24" t="s">
        <v>946</v>
      </c>
      <c r="BX24" t="s">
        <v>946</v>
      </c>
      <c r="BY24" t="s">
        <v>946</v>
      </c>
      <c r="BZ24" t="s">
        <v>946</v>
      </c>
      <c r="CA24" t="s">
        <v>946</v>
      </c>
    </row>
    <row r="25" spans="1:79" x14ac:dyDescent="0.2">
      <c r="A25" t="s">
        <v>21</v>
      </c>
      <c r="B25" t="s">
        <v>21</v>
      </c>
      <c r="C25" t="s">
        <v>946</v>
      </c>
      <c r="D25" t="s">
        <v>946</v>
      </c>
      <c r="E25" t="s">
        <v>946</v>
      </c>
      <c r="F25" t="s">
        <v>21</v>
      </c>
      <c r="G25" t="s">
        <v>946</v>
      </c>
      <c r="H25" t="s">
        <v>946</v>
      </c>
      <c r="I25" t="s">
        <v>946</v>
      </c>
      <c r="J25" t="s">
        <v>946</v>
      </c>
      <c r="K25" t="s">
        <v>946</v>
      </c>
      <c r="L25" t="s">
        <v>946</v>
      </c>
      <c r="M25" t="s">
        <v>946</v>
      </c>
      <c r="N25" t="s">
        <v>946</v>
      </c>
      <c r="O25" t="s">
        <v>946</v>
      </c>
      <c r="P25" t="s">
        <v>946</v>
      </c>
      <c r="Q25" t="s">
        <v>946</v>
      </c>
      <c r="R25" t="s">
        <v>946</v>
      </c>
      <c r="S25" t="s">
        <v>946</v>
      </c>
      <c r="T25" t="s">
        <v>946</v>
      </c>
      <c r="U25" t="s">
        <v>946</v>
      </c>
      <c r="V25" t="s">
        <v>946</v>
      </c>
      <c r="W25" t="s">
        <v>946</v>
      </c>
      <c r="X25" t="s">
        <v>946</v>
      </c>
      <c r="Y25" t="s">
        <v>946</v>
      </c>
      <c r="Z25" t="s">
        <v>946</v>
      </c>
      <c r="AA25" t="s">
        <v>946</v>
      </c>
      <c r="AB25" t="s">
        <v>946</v>
      </c>
      <c r="AC25" t="s">
        <v>946</v>
      </c>
      <c r="AD25" t="s">
        <v>946</v>
      </c>
      <c r="AE25" t="s">
        <v>21</v>
      </c>
      <c r="AF25" t="s">
        <v>21</v>
      </c>
      <c r="AG25" t="s">
        <v>21</v>
      </c>
      <c r="AH25" t="s">
        <v>21</v>
      </c>
      <c r="AI25" t="s">
        <v>946</v>
      </c>
      <c r="AJ25" t="s">
        <v>946</v>
      </c>
      <c r="AK25" t="s">
        <v>946</v>
      </c>
      <c r="AL25" t="s">
        <v>946</v>
      </c>
      <c r="AM25" t="s">
        <v>946</v>
      </c>
      <c r="AN25" t="s">
        <v>946</v>
      </c>
      <c r="AO25" t="s">
        <v>946</v>
      </c>
      <c r="AP25" t="s">
        <v>946</v>
      </c>
      <c r="AQ25" t="s">
        <v>946</v>
      </c>
      <c r="AR25" t="s">
        <v>946</v>
      </c>
      <c r="AS25" t="s">
        <v>946</v>
      </c>
      <c r="AT25" t="s">
        <v>946</v>
      </c>
      <c r="AU25" t="s">
        <v>946</v>
      </c>
      <c r="AV25" t="s">
        <v>946</v>
      </c>
      <c r="AW25" t="s">
        <v>946</v>
      </c>
      <c r="AX25" t="s">
        <v>946</v>
      </c>
      <c r="AY25" t="s">
        <v>946</v>
      </c>
      <c r="AZ25" t="s">
        <v>946</v>
      </c>
      <c r="BA25" t="s">
        <v>946</v>
      </c>
      <c r="BB25" t="s">
        <v>946</v>
      </c>
      <c r="BC25" t="s">
        <v>946</v>
      </c>
      <c r="BD25" t="s">
        <v>946</v>
      </c>
      <c r="BE25" t="s">
        <v>946</v>
      </c>
      <c r="BF25" t="s">
        <v>946</v>
      </c>
      <c r="BG25" t="s">
        <v>946</v>
      </c>
      <c r="BH25" t="s">
        <v>946</v>
      </c>
      <c r="BI25" t="s">
        <v>946</v>
      </c>
      <c r="BJ25" t="s">
        <v>946</v>
      </c>
      <c r="BK25" t="s">
        <v>946</v>
      </c>
      <c r="BL25" t="s">
        <v>946</v>
      </c>
      <c r="BM25" t="s">
        <v>946</v>
      </c>
      <c r="BN25" t="s">
        <v>946</v>
      </c>
      <c r="BO25" t="s">
        <v>946</v>
      </c>
      <c r="BP25" t="s">
        <v>946</v>
      </c>
      <c r="BQ25" t="s">
        <v>946</v>
      </c>
      <c r="BR25" t="s">
        <v>946</v>
      </c>
      <c r="BS25" t="s">
        <v>946</v>
      </c>
      <c r="BT25" t="s">
        <v>946</v>
      </c>
      <c r="BU25" t="s">
        <v>946</v>
      </c>
      <c r="BV25" t="s">
        <v>946</v>
      </c>
      <c r="BW25" t="s">
        <v>946</v>
      </c>
      <c r="BX25" t="s">
        <v>946</v>
      </c>
      <c r="BY25" t="s">
        <v>946</v>
      </c>
      <c r="BZ25" t="s">
        <v>946</v>
      </c>
      <c r="CA25" t="s">
        <v>946</v>
      </c>
    </row>
    <row r="26" spans="1:79" x14ac:dyDescent="0.2">
      <c r="A26" t="s">
        <v>23</v>
      </c>
      <c r="B26" t="s">
        <v>946</v>
      </c>
      <c r="C26" t="s">
        <v>23</v>
      </c>
      <c r="D26" t="s">
        <v>23</v>
      </c>
      <c r="E26" t="s">
        <v>946</v>
      </c>
      <c r="F26" t="s">
        <v>946</v>
      </c>
      <c r="G26" t="s">
        <v>946</v>
      </c>
      <c r="H26" t="s">
        <v>946</v>
      </c>
      <c r="I26" t="s">
        <v>23</v>
      </c>
      <c r="J26" t="s">
        <v>946</v>
      </c>
      <c r="K26" t="s">
        <v>946</v>
      </c>
      <c r="L26" t="s">
        <v>946</v>
      </c>
      <c r="M26" t="s">
        <v>946</v>
      </c>
      <c r="N26" t="s">
        <v>946</v>
      </c>
      <c r="O26" t="s">
        <v>946</v>
      </c>
      <c r="P26" t="s">
        <v>946</v>
      </c>
      <c r="Q26" t="s">
        <v>946</v>
      </c>
      <c r="R26" t="s">
        <v>946</v>
      </c>
      <c r="S26" t="s">
        <v>23</v>
      </c>
      <c r="T26" t="s">
        <v>946</v>
      </c>
      <c r="U26" t="s">
        <v>946</v>
      </c>
      <c r="V26" t="s">
        <v>946</v>
      </c>
      <c r="W26" t="s">
        <v>946</v>
      </c>
      <c r="X26" t="s">
        <v>946</v>
      </c>
      <c r="Y26" t="s">
        <v>946</v>
      </c>
      <c r="Z26" t="s">
        <v>946</v>
      </c>
      <c r="AA26" t="s">
        <v>946</v>
      </c>
      <c r="AB26" t="s">
        <v>946</v>
      </c>
      <c r="AC26" t="s">
        <v>946</v>
      </c>
      <c r="AD26" t="s">
        <v>946</v>
      </c>
      <c r="AE26" t="s">
        <v>946</v>
      </c>
      <c r="AF26" t="s">
        <v>946</v>
      </c>
      <c r="AG26" t="s">
        <v>946</v>
      </c>
      <c r="AH26" t="s">
        <v>946</v>
      </c>
      <c r="AI26" t="s">
        <v>946</v>
      </c>
      <c r="AJ26" t="s">
        <v>946</v>
      </c>
      <c r="AK26" t="s">
        <v>946</v>
      </c>
      <c r="AL26" t="s">
        <v>946</v>
      </c>
      <c r="AM26" t="s">
        <v>946</v>
      </c>
      <c r="AN26" t="s">
        <v>946</v>
      </c>
      <c r="AO26" t="s">
        <v>946</v>
      </c>
      <c r="AP26" t="s">
        <v>946</v>
      </c>
      <c r="AQ26" t="s">
        <v>946</v>
      </c>
      <c r="AR26" t="s">
        <v>23</v>
      </c>
      <c r="AS26" t="s">
        <v>946</v>
      </c>
      <c r="AT26" t="s">
        <v>946</v>
      </c>
      <c r="AU26" t="s">
        <v>946</v>
      </c>
      <c r="AV26" t="s">
        <v>946</v>
      </c>
      <c r="AW26" t="s">
        <v>23</v>
      </c>
      <c r="AX26" t="s">
        <v>946</v>
      </c>
      <c r="AY26" t="s">
        <v>946</v>
      </c>
      <c r="AZ26" t="s">
        <v>946</v>
      </c>
      <c r="BA26" t="s">
        <v>23</v>
      </c>
      <c r="BB26" t="s">
        <v>946</v>
      </c>
      <c r="BC26" t="s">
        <v>23</v>
      </c>
      <c r="BD26" t="s">
        <v>23</v>
      </c>
      <c r="BE26" t="s">
        <v>946</v>
      </c>
      <c r="BF26" t="s">
        <v>946</v>
      </c>
      <c r="BG26" t="s">
        <v>946</v>
      </c>
      <c r="BH26" t="s">
        <v>946</v>
      </c>
      <c r="BI26" t="s">
        <v>946</v>
      </c>
      <c r="BJ26" t="s">
        <v>946</v>
      </c>
      <c r="BK26" t="s">
        <v>946</v>
      </c>
      <c r="BL26" t="s">
        <v>946</v>
      </c>
      <c r="BM26" t="s">
        <v>946</v>
      </c>
      <c r="BN26" t="s">
        <v>946</v>
      </c>
      <c r="BO26" t="s">
        <v>946</v>
      </c>
      <c r="BP26" t="s">
        <v>946</v>
      </c>
      <c r="BQ26" t="s">
        <v>946</v>
      </c>
      <c r="BR26" t="s">
        <v>946</v>
      </c>
      <c r="BS26" t="s">
        <v>23</v>
      </c>
      <c r="BT26" t="s">
        <v>946</v>
      </c>
      <c r="BU26" t="s">
        <v>946</v>
      </c>
      <c r="BV26" t="s">
        <v>23</v>
      </c>
      <c r="BW26" t="s">
        <v>23</v>
      </c>
      <c r="BX26" t="s">
        <v>946</v>
      </c>
      <c r="BY26" t="s">
        <v>946</v>
      </c>
      <c r="BZ26" t="s">
        <v>946</v>
      </c>
      <c r="CA26" t="s">
        <v>23</v>
      </c>
    </row>
    <row r="27" spans="1:79" x14ac:dyDescent="0.2">
      <c r="A27" t="s">
        <v>902</v>
      </c>
      <c r="B27" t="s">
        <v>946</v>
      </c>
      <c r="C27" t="s">
        <v>902</v>
      </c>
      <c r="D27" t="s">
        <v>902</v>
      </c>
      <c r="E27" t="s">
        <v>946</v>
      </c>
      <c r="F27" t="s">
        <v>946</v>
      </c>
      <c r="G27" t="s">
        <v>946</v>
      </c>
      <c r="H27" t="s">
        <v>946</v>
      </c>
      <c r="I27" t="s">
        <v>902</v>
      </c>
      <c r="J27" t="s">
        <v>946</v>
      </c>
      <c r="K27" t="s">
        <v>902</v>
      </c>
      <c r="L27" t="s">
        <v>946</v>
      </c>
      <c r="M27" t="s">
        <v>902</v>
      </c>
      <c r="N27" t="s">
        <v>946</v>
      </c>
      <c r="O27" t="s">
        <v>946</v>
      </c>
      <c r="P27" t="s">
        <v>902</v>
      </c>
      <c r="Q27" t="s">
        <v>902</v>
      </c>
      <c r="R27" t="s">
        <v>946</v>
      </c>
      <c r="S27" t="s">
        <v>946</v>
      </c>
      <c r="T27" t="s">
        <v>902</v>
      </c>
      <c r="U27" t="s">
        <v>902</v>
      </c>
      <c r="V27" t="s">
        <v>946</v>
      </c>
      <c r="W27" t="s">
        <v>946</v>
      </c>
      <c r="X27" t="s">
        <v>946</v>
      </c>
      <c r="Y27" t="s">
        <v>946</v>
      </c>
      <c r="Z27" t="s">
        <v>946</v>
      </c>
      <c r="AA27" t="s">
        <v>946</v>
      </c>
      <c r="AB27" t="s">
        <v>946</v>
      </c>
      <c r="AC27" t="s">
        <v>946</v>
      </c>
      <c r="AD27" t="s">
        <v>946</v>
      </c>
      <c r="AE27" t="s">
        <v>946</v>
      </c>
      <c r="AF27" t="s">
        <v>946</v>
      </c>
      <c r="AG27" t="s">
        <v>946</v>
      </c>
      <c r="AH27" t="s">
        <v>946</v>
      </c>
      <c r="AI27" t="s">
        <v>946</v>
      </c>
      <c r="AJ27" t="s">
        <v>946</v>
      </c>
      <c r="AK27" t="s">
        <v>902</v>
      </c>
      <c r="AL27" t="s">
        <v>946</v>
      </c>
      <c r="AM27" t="s">
        <v>946</v>
      </c>
      <c r="AN27" t="s">
        <v>946</v>
      </c>
      <c r="AO27" t="s">
        <v>946</v>
      </c>
      <c r="AP27" t="s">
        <v>902</v>
      </c>
      <c r="AQ27" t="s">
        <v>946</v>
      </c>
      <c r="AR27" t="s">
        <v>946</v>
      </c>
      <c r="AS27" t="s">
        <v>902</v>
      </c>
      <c r="AT27" t="s">
        <v>902</v>
      </c>
      <c r="AU27" t="s">
        <v>946</v>
      </c>
      <c r="AV27" t="s">
        <v>902</v>
      </c>
      <c r="AW27" t="s">
        <v>902</v>
      </c>
      <c r="AX27" t="s">
        <v>902</v>
      </c>
      <c r="AY27" t="s">
        <v>902</v>
      </c>
      <c r="AZ27" t="s">
        <v>902</v>
      </c>
      <c r="BA27" t="s">
        <v>946</v>
      </c>
      <c r="BB27" t="s">
        <v>902</v>
      </c>
      <c r="BC27" t="s">
        <v>902</v>
      </c>
      <c r="BD27" t="s">
        <v>902</v>
      </c>
      <c r="BE27" t="s">
        <v>946</v>
      </c>
      <c r="BF27" t="s">
        <v>946</v>
      </c>
      <c r="BG27" t="s">
        <v>946</v>
      </c>
      <c r="BH27" t="s">
        <v>946</v>
      </c>
      <c r="BI27" t="s">
        <v>946</v>
      </c>
      <c r="BJ27" t="s">
        <v>946</v>
      </c>
      <c r="BK27" t="s">
        <v>946</v>
      </c>
      <c r="BL27" t="s">
        <v>946</v>
      </c>
      <c r="BM27" t="s">
        <v>946</v>
      </c>
      <c r="BN27" t="s">
        <v>946</v>
      </c>
      <c r="BO27" t="s">
        <v>946</v>
      </c>
      <c r="BP27" t="s">
        <v>946</v>
      </c>
      <c r="BQ27" t="s">
        <v>902</v>
      </c>
      <c r="BR27" t="s">
        <v>902</v>
      </c>
      <c r="BS27" t="s">
        <v>902</v>
      </c>
      <c r="BT27" t="s">
        <v>946</v>
      </c>
      <c r="BU27" t="s">
        <v>902</v>
      </c>
      <c r="BV27" t="s">
        <v>946</v>
      </c>
      <c r="BW27" t="s">
        <v>946</v>
      </c>
      <c r="BX27" t="s">
        <v>902</v>
      </c>
      <c r="BY27" t="s">
        <v>902</v>
      </c>
      <c r="BZ27" t="s">
        <v>946</v>
      </c>
      <c r="CA27" t="s">
        <v>946</v>
      </c>
    </row>
    <row r="28" spans="1:79" x14ac:dyDescent="0.2">
      <c r="A28" t="s">
        <v>557</v>
      </c>
      <c r="B28" t="s">
        <v>557</v>
      </c>
      <c r="C28" t="s">
        <v>557</v>
      </c>
      <c r="D28" t="s">
        <v>557</v>
      </c>
      <c r="E28" t="s">
        <v>946</v>
      </c>
      <c r="F28" t="s">
        <v>557</v>
      </c>
      <c r="G28" t="s">
        <v>946</v>
      </c>
      <c r="H28" t="s">
        <v>946</v>
      </c>
      <c r="I28" t="s">
        <v>946</v>
      </c>
      <c r="J28" t="s">
        <v>946</v>
      </c>
      <c r="K28" t="s">
        <v>557</v>
      </c>
      <c r="L28" t="s">
        <v>946</v>
      </c>
      <c r="M28" t="s">
        <v>946</v>
      </c>
      <c r="N28" t="s">
        <v>946</v>
      </c>
      <c r="O28" t="s">
        <v>946</v>
      </c>
      <c r="P28" t="s">
        <v>557</v>
      </c>
      <c r="Q28" t="s">
        <v>946</v>
      </c>
      <c r="R28" t="s">
        <v>946</v>
      </c>
      <c r="S28" t="s">
        <v>946</v>
      </c>
      <c r="T28" t="s">
        <v>946</v>
      </c>
      <c r="U28" t="s">
        <v>557</v>
      </c>
      <c r="V28" t="s">
        <v>946</v>
      </c>
      <c r="W28" t="s">
        <v>946</v>
      </c>
      <c r="X28" t="s">
        <v>946</v>
      </c>
      <c r="Y28" t="s">
        <v>946</v>
      </c>
      <c r="Z28" t="s">
        <v>557</v>
      </c>
      <c r="AA28" t="s">
        <v>946</v>
      </c>
      <c r="AB28" t="s">
        <v>946</v>
      </c>
      <c r="AC28" t="s">
        <v>946</v>
      </c>
      <c r="AD28" t="s">
        <v>946</v>
      </c>
      <c r="AE28" t="s">
        <v>946</v>
      </c>
      <c r="AF28" t="s">
        <v>946</v>
      </c>
      <c r="AG28" t="s">
        <v>946</v>
      </c>
      <c r="AH28" t="s">
        <v>946</v>
      </c>
      <c r="AI28" t="s">
        <v>946</v>
      </c>
      <c r="AJ28" t="s">
        <v>946</v>
      </c>
      <c r="AK28" t="s">
        <v>557</v>
      </c>
      <c r="AL28" t="s">
        <v>946</v>
      </c>
      <c r="AM28" t="s">
        <v>946</v>
      </c>
      <c r="AN28" t="s">
        <v>946</v>
      </c>
      <c r="AO28" t="s">
        <v>946</v>
      </c>
      <c r="AP28" t="s">
        <v>946</v>
      </c>
      <c r="AQ28" t="s">
        <v>946</v>
      </c>
      <c r="AR28" t="s">
        <v>946</v>
      </c>
      <c r="AS28" t="s">
        <v>946</v>
      </c>
      <c r="AT28" t="s">
        <v>946</v>
      </c>
      <c r="AU28" t="s">
        <v>946</v>
      </c>
      <c r="AV28" t="s">
        <v>946</v>
      </c>
      <c r="AW28" t="s">
        <v>946</v>
      </c>
      <c r="AX28" t="s">
        <v>946</v>
      </c>
      <c r="AY28" t="s">
        <v>557</v>
      </c>
      <c r="AZ28" t="s">
        <v>557</v>
      </c>
      <c r="BA28" t="s">
        <v>557</v>
      </c>
      <c r="BB28" t="s">
        <v>557</v>
      </c>
      <c r="BC28" t="s">
        <v>557</v>
      </c>
      <c r="BD28" t="s">
        <v>557</v>
      </c>
      <c r="BE28" t="s">
        <v>946</v>
      </c>
      <c r="BF28" t="s">
        <v>946</v>
      </c>
      <c r="BG28" t="s">
        <v>946</v>
      </c>
      <c r="BH28" t="s">
        <v>946</v>
      </c>
      <c r="BI28" t="s">
        <v>946</v>
      </c>
      <c r="BJ28" t="s">
        <v>946</v>
      </c>
      <c r="BK28" t="s">
        <v>946</v>
      </c>
      <c r="BL28" t="s">
        <v>946</v>
      </c>
      <c r="BM28" t="s">
        <v>946</v>
      </c>
      <c r="BN28" t="s">
        <v>946</v>
      </c>
      <c r="BO28" t="s">
        <v>946</v>
      </c>
      <c r="BP28" t="s">
        <v>946</v>
      </c>
      <c r="BQ28" t="s">
        <v>946</v>
      </c>
      <c r="BR28" t="s">
        <v>946</v>
      </c>
      <c r="BS28" t="s">
        <v>946</v>
      </c>
      <c r="BT28" t="s">
        <v>946</v>
      </c>
      <c r="BU28" t="s">
        <v>946</v>
      </c>
      <c r="BV28" t="s">
        <v>946</v>
      </c>
      <c r="BW28" t="s">
        <v>946</v>
      </c>
      <c r="BX28" t="s">
        <v>557</v>
      </c>
      <c r="BY28" t="s">
        <v>946</v>
      </c>
      <c r="BZ28" t="s">
        <v>946</v>
      </c>
      <c r="CA28" t="s">
        <v>946</v>
      </c>
    </row>
    <row r="29" spans="1:79" x14ac:dyDescent="0.2">
      <c r="A29" t="s">
        <v>24</v>
      </c>
      <c r="B29" t="s">
        <v>946</v>
      </c>
      <c r="C29" t="s">
        <v>946</v>
      </c>
      <c r="D29" t="s">
        <v>946</v>
      </c>
      <c r="E29" t="s">
        <v>946</v>
      </c>
      <c r="F29" t="s">
        <v>946</v>
      </c>
      <c r="G29" t="s">
        <v>946</v>
      </c>
      <c r="H29" t="s">
        <v>946</v>
      </c>
      <c r="I29" t="s">
        <v>946</v>
      </c>
      <c r="J29" t="s">
        <v>24</v>
      </c>
      <c r="K29" t="s">
        <v>946</v>
      </c>
      <c r="L29" t="s">
        <v>24</v>
      </c>
      <c r="M29" t="s">
        <v>946</v>
      </c>
      <c r="N29" t="s">
        <v>24</v>
      </c>
      <c r="O29" t="s">
        <v>946</v>
      </c>
      <c r="P29" t="s">
        <v>946</v>
      </c>
      <c r="Q29" t="s">
        <v>946</v>
      </c>
      <c r="R29" t="s">
        <v>946</v>
      </c>
      <c r="S29" t="s">
        <v>24</v>
      </c>
      <c r="T29" t="s">
        <v>946</v>
      </c>
      <c r="U29" t="s">
        <v>24</v>
      </c>
      <c r="V29" t="s">
        <v>24</v>
      </c>
      <c r="W29" t="s">
        <v>946</v>
      </c>
      <c r="X29" t="s">
        <v>24</v>
      </c>
      <c r="Y29" t="s">
        <v>24</v>
      </c>
      <c r="Z29" t="s">
        <v>946</v>
      </c>
      <c r="AA29" t="s">
        <v>24</v>
      </c>
      <c r="AB29" t="s">
        <v>24</v>
      </c>
      <c r="AC29" t="s">
        <v>946</v>
      </c>
      <c r="AD29" t="s">
        <v>946</v>
      </c>
      <c r="AE29" t="s">
        <v>946</v>
      </c>
      <c r="AF29" t="s">
        <v>946</v>
      </c>
      <c r="AG29" t="s">
        <v>946</v>
      </c>
      <c r="AH29" t="s">
        <v>946</v>
      </c>
      <c r="AI29" t="s">
        <v>946</v>
      </c>
      <c r="AJ29" t="s">
        <v>946</v>
      </c>
      <c r="AK29" t="s">
        <v>946</v>
      </c>
      <c r="AL29" t="s">
        <v>946</v>
      </c>
      <c r="AM29" t="s">
        <v>946</v>
      </c>
      <c r="AN29" t="s">
        <v>946</v>
      </c>
      <c r="AO29" t="s">
        <v>946</v>
      </c>
      <c r="AP29" t="s">
        <v>24</v>
      </c>
      <c r="AQ29" t="s">
        <v>946</v>
      </c>
      <c r="AR29" t="s">
        <v>24</v>
      </c>
      <c r="AS29" t="s">
        <v>946</v>
      </c>
      <c r="AT29" t="s">
        <v>946</v>
      </c>
      <c r="AU29" t="s">
        <v>24</v>
      </c>
      <c r="AV29" t="s">
        <v>24</v>
      </c>
      <c r="AW29" t="s">
        <v>24</v>
      </c>
      <c r="AX29" t="s">
        <v>24</v>
      </c>
      <c r="AY29" t="s">
        <v>946</v>
      </c>
      <c r="AZ29" t="s">
        <v>946</v>
      </c>
      <c r="BA29" t="s">
        <v>946</v>
      </c>
      <c r="BB29" t="s">
        <v>946</v>
      </c>
      <c r="BC29" t="s">
        <v>946</v>
      </c>
      <c r="BD29" t="s">
        <v>946</v>
      </c>
      <c r="BE29" t="s">
        <v>946</v>
      </c>
      <c r="BF29" t="s">
        <v>946</v>
      </c>
      <c r="BG29" t="s">
        <v>946</v>
      </c>
      <c r="BH29" t="s">
        <v>946</v>
      </c>
      <c r="BI29" t="s">
        <v>946</v>
      </c>
      <c r="BJ29" t="s">
        <v>946</v>
      </c>
      <c r="BK29" t="s">
        <v>946</v>
      </c>
      <c r="BL29" t="s">
        <v>946</v>
      </c>
      <c r="BM29" t="s">
        <v>946</v>
      </c>
      <c r="BN29" t="s">
        <v>946</v>
      </c>
      <c r="BO29" t="s">
        <v>946</v>
      </c>
      <c r="BP29" t="s">
        <v>946</v>
      </c>
      <c r="BQ29" t="s">
        <v>24</v>
      </c>
      <c r="BR29" t="s">
        <v>24</v>
      </c>
      <c r="BS29" t="s">
        <v>946</v>
      </c>
      <c r="BT29" t="s">
        <v>946</v>
      </c>
      <c r="BU29" t="s">
        <v>946</v>
      </c>
      <c r="BV29" t="s">
        <v>24</v>
      </c>
      <c r="BW29" t="s">
        <v>946</v>
      </c>
      <c r="BX29" t="s">
        <v>946</v>
      </c>
      <c r="BY29" t="s">
        <v>946</v>
      </c>
      <c r="BZ29" t="s">
        <v>946</v>
      </c>
      <c r="CA29" t="s">
        <v>24</v>
      </c>
    </row>
    <row r="30" spans="1:79" x14ac:dyDescent="0.2">
      <c r="A30" t="s">
        <v>93</v>
      </c>
      <c r="B30" t="s">
        <v>946</v>
      </c>
      <c r="C30" t="s">
        <v>946</v>
      </c>
      <c r="D30" t="s">
        <v>946</v>
      </c>
      <c r="E30" t="s">
        <v>946</v>
      </c>
      <c r="F30" t="s">
        <v>946</v>
      </c>
      <c r="G30" t="s">
        <v>946</v>
      </c>
      <c r="H30" t="s">
        <v>946</v>
      </c>
      <c r="I30" t="s">
        <v>946</v>
      </c>
      <c r="J30" t="s">
        <v>946</v>
      </c>
      <c r="K30" t="s">
        <v>946</v>
      </c>
      <c r="L30" t="s">
        <v>946</v>
      </c>
      <c r="M30" t="s">
        <v>946</v>
      </c>
      <c r="N30" t="s">
        <v>946</v>
      </c>
      <c r="O30" t="s">
        <v>946</v>
      </c>
      <c r="P30" t="s">
        <v>946</v>
      </c>
      <c r="Q30" t="s">
        <v>946</v>
      </c>
      <c r="R30" t="s">
        <v>946</v>
      </c>
      <c r="S30" t="s">
        <v>946</v>
      </c>
      <c r="T30" t="s">
        <v>946</v>
      </c>
      <c r="U30" t="s">
        <v>946</v>
      </c>
      <c r="V30" t="s">
        <v>946</v>
      </c>
      <c r="W30" t="s">
        <v>946</v>
      </c>
      <c r="X30" t="s">
        <v>946</v>
      </c>
      <c r="Y30" t="s">
        <v>946</v>
      </c>
      <c r="Z30" t="s">
        <v>93</v>
      </c>
      <c r="AA30" t="s">
        <v>946</v>
      </c>
      <c r="AB30" t="s">
        <v>946</v>
      </c>
      <c r="AC30" t="s">
        <v>946</v>
      </c>
      <c r="AD30" t="s">
        <v>946</v>
      </c>
      <c r="AE30" t="s">
        <v>946</v>
      </c>
      <c r="AF30" t="s">
        <v>946</v>
      </c>
      <c r="AG30" t="s">
        <v>946</v>
      </c>
      <c r="AH30" t="s">
        <v>946</v>
      </c>
      <c r="AI30" t="s">
        <v>946</v>
      </c>
      <c r="AJ30" t="s">
        <v>946</v>
      </c>
      <c r="AK30" t="s">
        <v>946</v>
      </c>
      <c r="AL30" t="s">
        <v>946</v>
      </c>
      <c r="AM30" t="s">
        <v>946</v>
      </c>
      <c r="AN30" t="s">
        <v>946</v>
      </c>
      <c r="AO30" t="s">
        <v>946</v>
      </c>
      <c r="AP30" t="s">
        <v>946</v>
      </c>
      <c r="AQ30" t="s">
        <v>93</v>
      </c>
      <c r="AR30" t="s">
        <v>946</v>
      </c>
      <c r="AS30" t="s">
        <v>946</v>
      </c>
      <c r="AT30" t="s">
        <v>93</v>
      </c>
      <c r="AU30" t="s">
        <v>946</v>
      </c>
      <c r="AV30" t="s">
        <v>946</v>
      </c>
      <c r="AW30" t="s">
        <v>946</v>
      </c>
      <c r="AX30" t="s">
        <v>946</v>
      </c>
      <c r="AY30" t="s">
        <v>946</v>
      </c>
      <c r="AZ30" t="s">
        <v>946</v>
      </c>
      <c r="BA30" t="s">
        <v>946</v>
      </c>
      <c r="BB30" t="s">
        <v>946</v>
      </c>
      <c r="BC30" t="s">
        <v>946</v>
      </c>
      <c r="BD30" t="s">
        <v>946</v>
      </c>
      <c r="BE30" t="s">
        <v>946</v>
      </c>
      <c r="BF30" t="s">
        <v>946</v>
      </c>
      <c r="BG30" t="s">
        <v>946</v>
      </c>
      <c r="BH30" t="s">
        <v>946</v>
      </c>
      <c r="BI30" t="s">
        <v>946</v>
      </c>
      <c r="BJ30" t="s">
        <v>946</v>
      </c>
      <c r="BK30" t="s">
        <v>946</v>
      </c>
      <c r="BL30" t="s">
        <v>946</v>
      </c>
      <c r="BM30" t="s">
        <v>946</v>
      </c>
      <c r="BN30" t="s">
        <v>946</v>
      </c>
      <c r="BO30" t="s">
        <v>946</v>
      </c>
      <c r="BP30" t="s">
        <v>946</v>
      </c>
      <c r="BQ30" t="s">
        <v>946</v>
      </c>
      <c r="BR30" t="s">
        <v>946</v>
      </c>
      <c r="BS30" t="s">
        <v>946</v>
      </c>
      <c r="BT30" t="s">
        <v>946</v>
      </c>
      <c r="BU30" t="s">
        <v>946</v>
      </c>
      <c r="BV30" t="s">
        <v>946</v>
      </c>
      <c r="BW30" t="s">
        <v>946</v>
      </c>
      <c r="BX30" t="s">
        <v>946</v>
      </c>
      <c r="BY30" t="s">
        <v>946</v>
      </c>
      <c r="BZ30" t="s">
        <v>946</v>
      </c>
      <c r="CA30" t="s">
        <v>946</v>
      </c>
    </row>
    <row r="31" spans="1:79" x14ac:dyDescent="0.2">
      <c r="A31" t="s">
        <v>25</v>
      </c>
      <c r="B31" t="s">
        <v>946</v>
      </c>
      <c r="C31" t="s">
        <v>946</v>
      </c>
      <c r="D31" t="s">
        <v>946</v>
      </c>
      <c r="E31" t="s">
        <v>946</v>
      </c>
      <c r="F31" t="s">
        <v>946</v>
      </c>
      <c r="G31" t="s">
        <v>946</v>
      </c>
      <c r="H31" t="s">
        <v>946</v>
      </c>
      <c r="I31" t="s">
        <v>946</v>
      </c>
      <c r="J31" t="s">
        <v>946</v>
      </c>
      <c r="K31" t="s">
        <v>25</v>
      </c>
      <c r="L31" t="s">
        <v>946</v>
      </c>
      <c r="M31" t="s">
        <v>946</v>
      </c>
      <c r="N31" t="s">
        <v>946</v>
      </c>
      <c r="O31" t="s">
        <v>946</v>
      </c>
      <c r="P31" t="s">
        <v>25</v>
      </c>
      <c r="Q31" t="s">
        <v>946</v>
      </c>
      <c r="R31" t="s">
        <v>946</v>
      </c>
      <c r="S31" t="s">
        <v>946</v>
      </c>
      <c r="T31" t="s">
        <v>946</v>
      </c>
      <c r="U31" t="s">
        <v>25</v>
      </c>
      <c r="V31" t="s">
        <v>946</v>
      </c>
      <c r="W31" t="s">
        <v>946</v>
      </c>
      <c r="X31" t="s">
        <v>946</v>
      </c>
      <c r="Y31" t="s">
        <v>946</v>
      </c>
      <c r="Z31" t="s">
        <v>946</v>
      </c>
      <c r="AA31" t="s">
        <v>946</v>
      </c>
      <c r="AB31" t="s">
        <v>946</v>
      </c>
      <c r="AC31" t="s">
        <v>946</v>
      </c>
      <c r="AD31" t="s">
        <v>946</v>
      </c>
      <c r="AE31" t="s">
        <v>946</v>
      </c>
      <c r="AF31" t="s">
        <v>946</v>
      </c>
      <c r="AG31" t="s">
        <v>946</v>
      </c>
      <c r="AH31" t="s">
        <v>946</v>
      </c>
      <c r="AI31" t="s">
        <v>25</v>
      </c>
      <c r="AJ31" t="s">
        <v>946</v>
      </c>
      <c r="AK31" t="s">
        <v>25</v>
      </c>
      <c r="AL31" t="s">
        <v>25</v>
      </c>
      <c r="AM31" t="s">
        <v>946</v>
      </c>
      <c r="AN31" t="s">
        <v>946</v>
      </c>
      <c r="AO31" t="s">
        <v>946</v>
      </c>
      <c r="AP31" t="s">
        <v>946</v>
      </c>
      <c r="AQ31" t="s">
        <v>25</v>
      </c>
      <c r="AR31" t="s">
        <v>946</v>
      </c>
      <c r="AS31" t="s">
        <v>946</v>
      </c>
      <c r="AT31" t="s">
        <v>946</v>
      </c>
      <c r="AU31" t="s">
        <v>946</v>
      </c>
      <c r="AV31" t="s">
        <v>946</v>
      </c>
      <c r="AW31" t="s">
        <v>946</v>
      </c>
      <c r="AX31" t="s">
        <v>946</v>
      </c>
      <c r="AY31" t="s">
        <v>946</v>
      </c>
      <c r="AZ31" t="s">
        <v>946</v>
      </c>
      <c r="BA31" t="s">
        <v>946</v>
      </c>
      <c r="BB31" t="s">
        <v>946</v>
      </c>
      <c r="BC31" t="s">
        <v>946</v>
      </c>
      <c r="BD31" t="s">
        <v>946</v>
      </c>
      <c r="BE31" t="s">
        <v>946</v>
      </c>
      <c r="BF31" t="s">
        <v>946</v>
      </c>
      <c r="BG31" t="s">
        <v>946</v>
      </c>
      <c r="BH31" t="s">
        <v>946</v>
      </c>
      <c r="BI31" t="s">
        <v>946</v>
      </c>
      <c r="BJ31" t="s">
        <v>946</v>
      </c>
      <c r="BK31" t="s">
        <v>946</v>
      </c>
      <c r="BL31" t="s">
        <v>946</v>
      </c>
      <c r="BM31" t="s">
        <v>946</v>
      </c>
      <c r="BN31" t="s">
        <v>946</v>
      </c>
      <c r="BO31" t="s">
        <v>946</v>
      </c>
      <c r="BP31" t="s">
        <v>946</v>
      </c>
      <c r="BQ31" t="s">
        <v>946</v>
      </c>
      <c r="BR31" t="s">
        <v>946</v>
      </c>
      <c r="BS31" t="s">
        <v>946</v>
      </c>
      <c r="BT31" t="s">
        <v>946</v>
      </c>
      <c r="BU31" t="s">
        <v>946</v>
      </c>
      <c r="BV31" t="s">
        <v>25</v>
      </c>
      <c r="BW31" t="s">
        <v>25</v>
      </c>
      <c r="BX31" t="s">
        <v>946</v>
      </c>
      <c r="BY31" t="s">
        <v>946</v>
      </c>
      <c r="BZ31" t="s">
        <v>946</v>
      </c>
      <c r="CA31" t="s">
        <v>946</v>
      </c>
    </row>
    <row r="32" spans="1:79" x14ac:dyDescent="0.2">
      <c r="A32" t="s">
        <v>26</v>
      </c>
      <c r="B32" t="s">
        <v>26</v>
      </c>
      <c r="C32" t="s">
        <v>946</v>
      </c>
      <c r="D32" t="s">
        <v>26</v>
      </c>
      <c r="E32" t="s">
        <v>946</v>
      </c>
      <c r="F32" t="s">
        <v>946</v>
      </c>
      <c r="G32" t="s">
        <v>946</v>
      </c>
      <c r="H32" t="s">
        <v>946</v>
      </c>
      <c r="I32" t="s">
        <v>946</v>
      </c>
      <c r="J32" t="s">
        <v>946</v>
      </c>
      <c r="K32" t="s">
        <v>946</v>
      </c>
      <c r="L32" t="s">
        <v>26</v>
      </c>
      <c r="M32" t="s">
        <v>946</v>
      </c>
      <c r="N32" t="s">
        <v>26</v>
      </c>
      <c r="O32" t="s">
        <v>946</v>
      </c>
      <c r="P32" t="s">
        <v>26</v>
      </c>
      <c r="Q32" t="s">
        <v>26</v>
      </c>
      <c r="R32" t="s">
        <v>26</v>
      </c>
      <c r="S32" t="s">
        <v>946</v>
      </c>
      <c r="T32" t="s">
        <v>26</v>
      </c>
      <c r="U32" t="s">
        <v>26</v>
      </c>
      <c r="V32" t="s">
        <v>946</v>
      </c>
      <c r="W32" t="s">
        <v>946</v>
      </c>
      <c r="X32" t="s">
        <v>26</v>
      </c>
      <c r="Y32" t="s">
        <v>26</v>
      </c>
      <c r="Z32" t="s">
        <v>26</v>
      </c>
      <c r="AA32" t="s">
        <v>26</v>
      </c>
      <c r="AB32" t="s">
        <v>26</v>
      </c>
      <c r="AC32" t="s">
        <v>946</v>
      </c>
      <c r="AD32" t="s">
        <v>946</v>
      </c>
      <c r="AE32" t="s">
        <v>26</v>
      </c>
      <c r="AF32" t="s">
        <v>946</v>
      </c>
      <c r="AG32" t="s">
        <v>26</v>
      </c>
      <c r="AH32" t="s">
        <v>26</v>
      </c>
      <c r="AI32" t="s">
        <v>946</v>
      </c>
      <c r="AJ32" t="s">
        <v>946</v>
      </c>
      <c r="AK32" t="s">
        <v>946</v>
      </c>
      <c r="AL32" t="s">
        <v>946</v>
      </c>
      <c r="AM32" t="s">
        <v>946</v>
      </c>
      <c r="AN32" t="s">
        <v>946</v>
      </c>
      <c r="AO32" t="s">
        <v>946</v>
      </c>
      <c r="AP32" t="s">
        <v>26</v>
      </c>
      <c r="AQ32" t="s">
        <v>946</v>
      </c>
      <c r="AR32" t="s">
        <v>26</v>
      </c>
      <c r="AS32" t="s">
        <v>26</v>
      </c>
      <c r="AT32" t="s">
        <v>26</v>
      </c>
      <c r="AU32" t="s">
        <v>26</v>
      </c>
      <c r="AV32" t="s">
        <v>26</v>
      </c>
      <c r="AW32" t="s">
        <v>26</v>
      </c>
      <c r="AX32" t="s">
        <v>946</v>
      </c>
      <c r="AY32" t="s">
        <v>946</v>
      </c>
      <c r="AZ32" t="s">
        <v>946</v>
      </c>
      <c r="BA32" t="s">
        <v>946</v>
      </c>
      <c r="BB32" t="s">
        <v>26</v>
      </c>
      <c r="BC32" t="s">
        <v>26</v>
      </c>
      <c r="BD32" t="s">
        <v>26</v>
      </c>
      <c r="BE32" t="s">
        <v>946</v>
      </c>
      <c r="BF32" t="s">
        <v>946</v>
      </c>
      <c r="BG32" t="s">
        <v>946</v>
      </c>
      <c r="BH32" t="s">
        <v>946</v>
      </c>
      <c r="BI32" t="s">
        <v>946</v>
      </c>
      <c r="BJ32" t="s">
        <v>946</v>
      </c>
      <c r="BK32" t="s">
        <v>946</v>
      </c>
      <c r="BL32" t="s">
        <v>946</v>
      </c>
      <c r="BM32" t="s">
        <v>946</v>
      </c>
      <c r="BN32" t="s">
        <v>946</v>
      </c>
      <c r="BO32" t="s">
        <v>946</v>
      </c>
      <c r="BP32" t="s">
        <v>946</v>
      </c>
      <c r="BQ32" t="s">
        <v>26</v>
      </c>
      <c r="BR32" t="s">
        <v>26</v>
      </c>
      <c r="BS32" t="s">
        <v>26</v>
      </c>
      <c r="BT32" t="s">
        <v>946</v>
      </c>
      <c r="BU32" t="s">
        <v>26</v>
      </c>
      <c r="BV32" t="s">
        <v>26</v>
      </c>
      <c r="BW32" t="s">
        <v>946</v>
      </c>
      <c r="BX32" t="s">
        <v>26</v>
      </c>
      <c r="BY32" t="s">
        <v>946</v>
      </c>
      <c r="BZ32" t="s">
        <v>946</v>
      </c>
      <c r="CA32" t="s">
        <v>26</v>
      </c>
    </row>
    <row r="33" spans="1:79" x14ac:dyDescent="0.2">
      <c r="A33" t="s">
        <v>28</v>
      </c>
      <c r="B33" t="s">
        <v>946</v>
      </c>
      <c r="C33" t="s">
        <v>946</v>
      </c>
      <c r="D33" t="s">
        <v>946</v>
      </c>
      <c r="E33" t="s">
        <v>946</v>
      </c>
      <c r="F33" t="s">
        <v>946</v>
      </c>
      <c r="G33" t="s">
        <v>946</v>
      </c>
      <c r="H33" t="s">
        <v>946</v>
      </c>
      <c r="I33" t="s">
        <v>28</v>
      </c>
      <c r="J33" t="s">
        <v>946</v>
      </c>
      <c r="K33" t="s">
        <v>946</v>
      </c>
      <c r="L33" t="s">
        <v>946</v>
      </c>
      <c r="M33" t="s">
        <v>946</v>
      </c>
      <c r="N33" t="s">
        <v>946</v>
      </c>
      <c r="O33" t="s">
        <v>946</v>
      </c>
      <c r="P33" t="s">
        <v>946</v>
      </c>
      <c r="Q33" t="s">
        <v>946</v>
      </c>
      <c r="R33" t="s">
        <v>946</v>
      </c>
      <c r="S33" t="s">
        <v>946</v>
      </c>
      <c r="T33" t="s">
        <v>946</v>
      </c>
      <c r="U33" t="s">
        <v>946</v>
      </c>
      <c r="V33" t="s">
        <v>946</v>
      </c>
      <c r="W33" t="s">
        <v>946</v>
      </c>
      <c r="X33" t="s">
        <v>946</v>
      </c>
      <c r="Y33" t="s">
        <v>946</v>
      </c>
      <c r="Z33" t="s">
        <v>946</v>
      </c>
      <c r="AA33" t="s">
        <v>946</v>
      </c>
      <c r="AB33" t="s">
        <v>946</v>
      </c>
      <c r="AC33" t="s">
        <v>946</v>
      </c>
      <c r="AD33" t="s">
        <v>946</v>
      </c>
      <c r="AE33" t="s">
        <v>946</v>
      </c>
      <c r="AF33" t="s">
        <v>946</v>
      </c>
      <c r="AG33" t="s">
        <v>946</v>
      </c>
      <c r="AH33" t="s">
        <v>946</v>
      </c>
      <c r="AI33" t="s">
        <v>946</v>
      </c>
      <c r="AJ33" t="s">
        <v>946</v>
      </c>
      <c r="AK33" t="s">
        <v>946</v>
      </c>
      <c r="AL33" t="s">
        <v>946</v>
      </c>
      <c r="AM33" t="s">
        <v>946</v>
      </c>
      <c r="AN33" t="s">
        <v>946</v>
      </c>
      <c r="AO33" t="s">
        <v>946</v>
      </c>
      <c r="AP33" t="s">
        <v>946</v>
      </c>
      <c r="AQ33" t="s">
        <v>946</v>
      </c>
      <c r="AR33" t="s">
        <v>946</v>
      </c>
      <c r="AS33" t="s">
        <v>946</v>
      </c>
      <c r="AT33" t="s">
        <v>946</v>
      </c>
      <c r="AU33" t="s">
        <v>946</v>
      </c>
      <c r="AV33" t="s">
        <v>946</v>
      </c>
      <c r="AW33" t="s">
        <v>946</v>
      </c>
      <c r="AX33" t="s">
        <v>946</v>
      </c>
      <c r="AY33" t="s">
        <v>946</v>
      </c>
      <c r="AZ33" t="s">
        <v>946</v>
      </c>
      <c r="BA33" t="s">
        <v>946</v>
      </c>
      <c r="BB33" t="s">
        <v>946</v>
      </c>
      <c r="BC33" t="s">
        <v>946</v>
      </c>
      <c r="BD33" t="s">
        <v>946</v>
      </c>
      <c r="BE33" t="s">
        <v>946</v>
      </c>
      <c r="BF33" t="s">
        <v>946</v>
      </c>
      <c r="BG33" t="s">
        <v>946</v>
      </c>
      <c r="BH33" t="s">
        <v>946</v>
      </c>
      <c r="BI33" t="s">
        <v>946</v>
      </c>
      <c r="BJ33" t="s">
        <v>946</v>
      </c>
      <c r="BK33" t="s">
        <v>946</v>
      </c>
      <c r="BL33" t="s">
        <v>946</v>
      </c>
      <c r="BM33" t="s">
        <v>946</v>
      </c>
      <c r="BN33" t="s">
        <v>946</v>
      </c>
      <c r="BO33" t="s">
        <v>946</v>
      </c>
      <c r="BP33" t="s">
        <v>946</v>
      </c>
      <c r="BQ33" t="s">
        <v>946</v>
      </c>
      <c r="BR33" t="s">
        <v>946</v>
      </c>
      <c r="BS33" t="s">
        <v>946</v>
      </c>
      <c r="BT33" t="s">
        <v>946</v>
      </c>
      <c r="BU33" t="s">
        <v>946</v>
      </c>
      <c r="BV33" t="s">
        <v>946</v>
      </c>
      <c r="BW33" t="s">
        <v>946</v>
      </c>
      <c r="BX33" t="s">
        <v>946</v>
      </c>
      <c r="BY33" t="s">
        <v>946</v>
      </c>
      <c r="BZ33" t="s">
        <v>946</v>
      </c>
      <c r="CA33" t="s">
        <v>946</v>
      </c>
    </row>
    <row r="34" spans="1:79" x14ac:dyDescent="0.2">
      <c r="A34" t="s">
        <v>30</v>
      </c>
      <c r="B34" t="s">
        <v>946</v>
      </c>
      <c r="C34" t="s">
        <v>946</v>
      </c>
      <c r="D34" t="s">
        <v>946</v>
      </c>
      <c r="E34" t="s">
        <v>946</v>
      </c>
      <c r="F34" t="s">
        <v>946</v>
      </c>
      <c r="G34" t="s">
        <v>946</v>
      </c>
      <c r="H34" t="s">
        <v>946</v>
      </c>
      <c r="I34" t="s">
        <v>946</v>
      </c>
      <c r="J34" t="s">
        <v>946</v>
      </c>
      <c r="K34" t="s">
        <v>946</v>
      </c>
      <c r="L34" t="s">
        <v>946</v>
      </c>
      <c r="M34" t="s">
        <v>946</v>
      </c>
      <c r="N34" t="s">
        <v>946</v>
      </c>
      <c r="O34" t="s">
        <v>946</v>
      </c>
      <c r="P34" t="s">
        <v>946</v>
      </c>
      <c r="Q34" t="s">
        <v>946</v>
      </c>
      <c r="R34" t="s">
        <v>946</v>
      </c>
      <c r="S34" t="s">
        <v>946</v>
      </c>
      <c r="T34" t="s">
        <v>946</v>
      </c>
      <c r="U34" t="s">
        <v>946</v>
      </c>
      <c r="V34" t="s">
        <v>946</v>
      </c>
      <c r="W34" t="s">
        <v>946</v>
      </c>
      <c r="X34" t="s">
        <v>946</v>
      </c>
      <c r="Y34" t="s">
        <v>946</v>
      </c>
      <c r="Z34" t="s">
        <v>946</v>
      </c>
      <c r="AA34" t="s">
        <v>946</v>
      </c>
      <c r="AB34" t="s">
        <v>946</v>
      </c>
      <c r="AC34" t="s">
        <v>946</v>
      </c>
      <c r="AD34" t="s">
        <v>946</v>
      </c>
      <c r="AE34" t="s">
        <v>946</v>
      </c>
      <c r="AF34" t="s">
        <v>946</v>
      </c>
      <c r="AG34" t="s">
        <v>30</v>
      </c>
      <c r="AH34" t="s">
        <v>30</v>
      </c>
      <c r="AI34" t="s">
        <v>946</v>
      </c>
      <c r="AJ34" t="s">
        <v>946</v>
      </c>
      <c r="AK34" t="s">
        <v>946</v>
      </c>
      <c r="AL34" t="s">
        <v>946</v>
      </c>
      <c r="AM34" t="s">
        <v>946</v>
      </c>
      <c r="AN34" t="s">
        <v>946</v>
      </c>
      <c r="AO34" t="s">
        <v>946</v>
      </c>
      <c r="AP34" t="s">
        <v>946</v>
      </c>
      <c r="AQ34" t="s">
        <v>30</v>
      </c>
      <c r="AR34" t="s">
        <v>946</v>
      </c>
      <c r="AS34" t="s">
        <v>946</v>
      </c>
      <c r="AT34" t="s">
        <v>946</v>
      </c>
      <c r="AU34" t="s">
        <v>946</v>
      </c>
      <c r="AV34" t="s">
        <v>946</v>
      </c>
      <c r="AW34" t="s">
        <v>946</v>
      </c>
      <c r="AX34" t="s">
        <v>946</v>
      </c>
      <c r="AY34" t="s">
        <v>946</v>
      </c>
      <c r="AZ34" t="s">
        <v>946</v>
      </c>
      <c r="BA34" t="s">
        <v>946</v>
      </c>
      <c r="BB34" t="s">
        <v>946</v>
      </c>
      <c r="BC34" t="s">
        <v>946</v>
      </c>
      <c r="BD34" t="s">
        <v>946</v>
      </c>
      <c r="BE34" t="s">
        <v>946</v>
      </c>
      <c r="BF34" t="s">
        <v>946</v>
      </c>
      <c r="BG34" t="s">
        <v>946</v>
      </c>
      <c r="BH34" t="s">
        <v>946</v>
      </c>
      <c r="BI34" t="s">
        <v>946</v>
      </c>
      <c r="BJ34" t="s">
        <v>946</v>
      </c>
      <c r="BK34" t="s">
        <v>946</v>
      </c>
      <c r="BL34" t="s">
        <v>946</v>
      </c>
      <c r="BM34" t="s">
        <v>946</v>
      </c>
      <c r="BN34" t="s">
        <v>946</v>
      </c>
      <c r="BO34" t="s">
        <v>946</v>
      </c>
      <c r="BP34" t="s">
        <v>946</v>
      </c>
      <c r="BQ34" t="s">
        <v>946</v>
      </c>
      <c r="BR34" t="s">
        <v>946</v>
      </c>
      <c r="BS34" t="s">
        <v>946</v>
      </c>
      <c r="BT34" t="s">
        <v>946</v>
      </c>
      <c r="BU34" t="s">
        <v>946</v>
      </c>
      <c r="BV34" t="s">
        <v>946</v>
      </c>
      <c r="BW34" t="s">
        <v>946</v>
      </c>
      <c r="BX34" t="s">
        <v>946</v>
      </c>
      <c r="BY34" t="s">
        <v>946</v>
      </c>
      <c r="BZ34" t="s">
        <v>946</v>
      </c>
      <c r="CA34" t="s">
        <v>946</v>
      </c>
    </row>
    <row r="35" spans="1:79" x14ac:dyDescent="0.2">
      <c r="A35" t="s">
        <v>31</v>
      </c>
      <c r="B35" t="s">
        <v>31</v>
      </c>
      <c r="C35" t="s">
        <v>946</v>
      </c>
      <c r="D35" t="s">
        <v>946</v>
      </c>
      <c r="E35" t="s">
        <v>946</v>
      </c>
      <c r="F35" t="s">
        <v>31</v>
      </c>
      <c r="G35" t="s">
        <v>946</v>
      </c>
      <c r="H35" t="s">
        <v>946</v>
      </c>
      <c r="I35" t="s">
        <v>946</v>
      </c>
      <c r="J35" t="s">
        <v>946</v>
      </c>
      <c r="K35" t="s">
        <v>946</v>
      </c>
      <c r="L35" t="s">
        <v>946</v>
      </c>
      <c r="M35" t="s">
        <v>946</v>
      </c>
      <c r="N35" t="s">
        <v>946</v>
      </c>
      <c r="O35" t="s">
        <v>946</v>
      </c>
      <c r="P35" t="s">
        <v>946</v>
      </c>
      <c r="Q35" t="s">
        <v>946</v>
      </c>
      <c r="R35" t="s">
        <v>946</v>
      </c>
      <c r="S35" t="s">
        <v>946</v>
      </c>
      <c r="T35" t="s">
        <v>946</v>
      </c>
      <c r="U35" t="s">
        <v>946</v>
      </c>
      <c r="V35" t="s">
        <v>946</v>
      </c>
      <c r="W35" t="s">
        <v>946</v>
      </c>
      <c r="X35" t="s">
        <v>946</v>
      </c>
      <c r="Y35" t="s">
        <v>946</v>
      </c>
      <c r="Z35" t="s">
        <v>946</v>
      </c>
      <c r="AA35" t="s">
        <v>946</v>
      </c>
      <c r="AB35" t="s">
        <v>946</v>
      </c>
      <c r="AC35" t="s">
        <v>946</v>
      </c>
      <c r="AD35" t="s">
        <v>946</v>
      </c>
      <c r="AE35" t="s">
        <v>31</v>
      </c>
      <c r="AF35" t="s">
        <v>31</v>
      </c>
      <c r="AG35" t="s">
        <v>31</v>
      </c>
      <c r="AH35" t="s">
        <v>31</v>
      </c>
      <c r="AI35" t="s">
        <v>946</v>
      </c>
      <c r="AJ35" t="s">
        <v>946</v>
      </c>
      <c r="AK35" t="s">
        <v>946</v>
      </c>
      <c r="AL35" t="s">
        <v>946</v>
      </c>
      <c r="AM35" t="s">
        <v>946</v>
      </c>
      <c r="AN35" t="s">
        <v>946</v>
      </c>
      <c r="AO35" t="s">
        <v>946</v>
      </c>
      <c r="AP35" t="s">
        <v>946</v>
      </c>
      <c r="AQ35" t="s">
        <v>946</v>
      </c>
      <c r="AR35" t="s">
        <v>946</v>
      </c>
      <c r="AS35" t="s">
        <v>946</v>
      </c>
      <c r="AT35" t="s">
        <v>946</v>
      </c>
      <c r="AU35" t="s">
        <v>946</v>
      </c>
      <c r="AV35" t="s">
        <v>946</v>
      </c>
      <c r="AW35" t="s">
        <v>946</v>
      </c>
      <c r="AX35" t="s">
        <v>946</v>
      </c>
      <c r="AY35" t="s">
        <v>946</v>
      </c>
      <c r="AZ35" t="s">
        <v>946</v>
      </c>
      <c r="BA35" t="s">
        <v>946</v>
      </c>
      <c r="BB35" t="s">
        <v>946</v>
      </c>
      <c r="BC35" t="s">
        <v>946</v>
      </c>
      <c r="BD35" t="s">
        <v>946</v>
      </c>
      <c r="BE35" t="s">
        <v>946</v>
      </c>
      <c r="BF35" t="s">
        <v>946</v>
      </c>
      <c r="BG35" t="s">
        <v>946</v>
      </c>
      <c r="BH35" t="s">
        <v>946</v>
      </c>
      <c r="BI35" t="s">
        <v>946</v>
      </c>
      <c r="BJ35" t="s">
        <v>946</v>
      </c>
      <c r="BK35" t="s">
        <v>946</v>
      </c>
      <c r="BL35" t="s">
        <v>946</v>
      </c>
      <c r="BM35" t="s">
        <v>946</v>
      </c>
      <c r="BN35" t="s">
        <v>946</v>
      </c>
      <c r="BO35" t="s">
        <v>946</v>
      </c>
      <c r="BP35" t="s">
        <v>946</v>
      </c>
      <c r="BQ35" t="s">
        <v>946</v>
      </c>
      <c r="BR35" t="s">
        <v>946</v>
      </c>
      <c r="BS35" t="s">
        <v>946</v>
      </c>
      <c r="BT35" t="s">
        <v>946</v>
      </c>
      <c r="BU35" t="s">
        <v>946</v>
      </c>
      <c r="BV35" t="s">
        <v>946</v>
      </c>
      <c r="BW35" t="s">
        <v>946</v>
      </c>
      <c r="BX35" t="s">
        <v>946</v>
      </c>
      <c r="BY35" t="s">
        <v>946</v>
      </c>
      <c r="BZ35" t="s">
        <v>946</v>
      </c>
      <c r="CA35" t="s">
        <v>946</v>
      </c>
    </row>
    <row r="36" spans="1:79" x14ac:dyDescent="0.2">
      <c r="A36" t="s">
        <v>74</v>
      </c>
      <c r="B36" t="s">
        <v>946</v>
      </c>
      <c r="C36" t="s">
        <v>946</v>
      </c>
      <c r="D36" t="s">
        <v>946</v>
      </c>
      <c r="E36" t="s">
        <v>946</v>
      </c>
      <c r="F36" t="s">
        <v>946</v>
      </c>
      <c r="G36" t="s">
        <v>946</v>
      </c>
      <c r="H36" t="s">
        <v>946</v>
      </c>
      <c r="I36" t="s">
        <v>946</v>
      </c>
      <c r="J36" t="s">
        <v>946</v>
      </c>
      <c r="K36" t="s">
        <v>946</v>
      </c>
      <c r="L36" t="s">
        <v>946</v>
      </c>
      <c r="M36" t="s">
        <v>946</v>
      </c>
      <c r="N36" t="s">
        <v>946</v>
      </c>
      <c r="O36" t="s">
        <v>946</v>
      </c>
      <c r="P36" t="s">
        <v>946</v>
      </c>
      <c r="Q36" t="s">
        <v>946</v>
      </c>
      <c r="R36" t="s">
        <v>946</v>
      </c>
      <c r="S36" t="s">
        <v>946</v>
      </c>
      <c r="T36" t="s">
        <v>946</v>
      </c>
      <c r="U36" t="s">
        <v>946</v>
      </c>
      <c r="V36" t="s">
        <v>946</v>
      </c>
      <c r="W36" t="s">
        <v>946</v>
      </c>
      <c r="X36" t="s">
        <v>946</v>
      </c>
      <c r="Y36" t="s">
        <v>946</v>
      </c>
      <c r="Z36" t="s">
        <v>946</v>
      </c>
      <c r="AA36" t="s">
        <v>946</v>
      </c>
      <c r="AB36" t="s">
        <v>946</v>
      </c>
      <c r="AC36" t="s">
        <v>946</v>
      </c>
      <c r="AD36" t="s">
        <v>74</v>
      </c>
      <c r="AE36" t="s">
        <v>946</v>
      </c>
      <c r="AF36" t="s">
        <v>946</v>
      </c>
      <c r="AG36" t="s">
        <v>946</v>
      </c>
      <c r="AH36" t="s">
        <v>946</v>
      </c>
      <c r="AI36" t="s">
        <v>946</v>
      </c>
      <c r="AJ36" t="s">
        <v>946</v>
      </c>
      <c r="AK36" t="s">
        <v>946</v>
      </c>
      <c r="AL36" t="s">
        <v>946</v>
      </c>
      <c r="AM36" t="s">
        <v>946</v>
      </c>
      <c r="AN36" t="s">
        <v>946</v>
      </c>
      <c r="AO36" t="s">
        <v>946</v>
      </c>
      <c r="AP36" t="s">
        <v>946</v>
      </c>
      <c r="AQ36" t="s">
        <v>946</v>
      </c>
      <c r="AR36" t="s">
        <v>946</v>
      </c>
      <c r="AS36" t="s">
        <v>946</v>
      </c>
      <c r="AT36" t="s">
        <v>946</v>
      </c>
      <c r="AU36" t="s">
        <v>946</v>
      </c>
      <c r="AV36" t="s">
        <v>946</v>
      </c>
      <c r="AW36" t="s">
        <v>946</v>
      </c>
      <c r="AX36" t="s">
        <v>946</v>
      </c>
      <c r="AY36" t="s">
        <v>946</v>
      </c>
      <c r="AZ36" t="s">
        <v>946</v>
      </c>
      <c r="BA36" t="s">
        <v>946</v>
      </c>
      <c r="BB36" t="s">
        <v>946</v>
      </c>
      <c r="BC36" t="s">
        <v>946</v>
      </c>
      <c r="BD36" t="s">
        <v>946</v>
      </c>
      <c r="BE36" t="s">
        <v>946</v>
      </c>
      <c r="BF36" t="s">
        <v>946</v>
      </c>
      <c r="BG36" t="s">
        <v>946</v>
      </c>
      <c r="BH36" t="s">
        <v>946</v>
      </c>
      <c r="BI36" t="s">
        <v>946</v>
      </c>
      <c r="BJ36" t="s">
        <v>946</v>
      </c>
      <c r="BK36" t="s">
        <v>946</v>
      </c>
      <c r="BL36" t="s">
        <v>946</v>
      </c>
      <c r="BM36" t="s">
        <v>946</v>
      </c>
      <c r="BN36" t="s">
        <v>946</v>
      </c>
      <c r="BO36" t="s">
        <v>946</v>
      </c>
      <c r="BP36" t="s">
        <v>946</v>
      </c>
      <c r="BQ36" t="s">
        <v>946</v>
      </c>
      <c r="BR36" t="s">
        <v>946</v>
      </c>
      <c r="BS36" t="s">
        <v>946</v>
      </c>
      <c r="BT36" t="s">
        <v>946</v>
      </c>
      <c r="BU36" t="s">
        <v>946</v>
      </c>
      <c r="BV36" t="s">
        <v>946</v>
      </c>
      <c r="BW36" t="s">
        <v>946</v>
      </c>
      <c r="BX36" t="s">
        <v>946</v>
      </c>
      <c r="BY36" t="s">
        <v>946</v>
      </c>
      <c r="BZ36" t="s">
        <v>946</v>
      </c>
      <c r="CA36" t="s">
        <v>946</v>
      </c>
    </row>
    <row r="37" spans="1:79" x14ac:dyDescent="0.2">
      <c r="A37" t="s">
        <v>549</v>
      </c>
      <c r="B37" t="s">
        <v>946</v>
      </c>
      <c r="C37" t="s">
        <v>549</v>
      </c>
      <c r="D37" t="s">
        <v>946</v>
      </c>
      <c r="E37" t="s">
        <v>946</v>
      </c>
      <c r="F37" t="s">
        <v>946</v>
      </c>
      <c r="G37" t="s">
        <v>946</v>
      </c>
      <c r="H37" t="s">
        <v>549</v>
      </c>
      <c r="I37" t="s">
        <v>549</v>
      </c>
      <c r="J37" t="s">
        <v>946</v>
      </c>
      <c r="K37" t="s">
        <v>946</v>
      </c>
      <c r="L37" t="s">
        <v>946</v>
      </c>
      <c r="M37" t="s">
        <v>946</v>
      </c>
      <c r="N37" t="s">
        <v>946</v>
      </c>
      <c r="O37" t="s">
        <v>946</v>
      </c>
      <c r="P37" t="s">
        <v>946</v>
      </c>
      <c r="Q37" t="s">
        <v>946</v>
      </c>
      <c r="R37" t="s">
        <v>946</v>
      </c>
      <c r="S37" t="s">
        <v>946</v>
      </c>
      <c r="T37" t="s">
        <v>946</v>
      </c>
      <c r="U37" t="s">
        <v>549</v>
      </c>
      <c r="V37" t="s">
        <v>946</v>
      </c>
      <c r="W37" t="s">
        <v>946</v>
      </c>
      <c r="X37" t="s">
        <v>549</v>
      </c>
      <c r="Y37" t="s">
        <v>549</v>
      </c>
      <c r="Z37" t="s">
        <v>946</v>
      </c>
      <c r="AA37" t="s">
        <v>946</v>
      </c>
      <c r="AB37" t="s">
        <v>946</v>
      </c>
      <c r="AC37" t="s">
        <v>549</v>
      </c>
      <c r="AD37" t="s">
        <v>549</v>
      </c>
      <c r="AE37" t="s">
        <v>946</v>
      </c>
      <c r="AF37" t="s">
        <v>946</v>
      </c>
      <c r="AG37" t="s">
        <v>946</v>
      </c>
      <c r="AH37" t="s">
        <v>946</v>
      </c>
      <c r="AI37" t="s">
        <v>946</v>
      </c>
      <c r="AJ37" t="s">
        <v>946</v>
      </c>
      <c r="AK37" t="s">
        <v>549</v>
      </c>
      <c r="AL37" t="s">
        <v>946</v>
      </c>
      <c r="AM37" t="s">
        <v>946</v>
      </c>
      <c r="AN37" t="s">
        <v>946</v>
      </c>
      <c r="AO37" t="s">
        <v>946</v>
      </c>
      <c r="AP37" t="s">
        <v>946</v>
      </c>
      <c r="AQ37" t="s">
        <v>946</v>
      </c>
      <c r="AR37" t="s">
        <v>946</v>
      </c>
      <c r="AS37" t="s">
        <v>946</v>
      </c>
      <c r="AT37" t="s">
        <v>946</v>
      </c>
      <c r="AU37" t="s">
        <v>946</v>
      </c>
      <c r="AV37" t="s">
        <v>946</v>
      </c>
      <c r="AW37" t="s">
        <v>946</v>
      </c>
      <c r="AX37" t="s">
        <v>946</v>
      </c>
      <c r="AY37" t="s">
        <v>946</v>
      </c>
      <c r="AZ37" t="s">
        <v>549</v>
      </c>
      <c r="BA37" t="s">
        <v>946</v>
      </c>
      <c r="BB37" t="s">
        <v>946</v>
      </c>
      <c r="BC37" t="s">
        <v>946</v>
      </c>
      <c r="BD37" t="s">
        <v>549</v>
      </c>
      <c r="BE37" t="s">
        <v>946</v>
      </c>
      <c r="BF37" t="s">
        <v>946</v>
      </c>
      <c r="BG37" t="s">
        <v>946</v>
      </c>
      <c r="BH37" t="s">
        <v>946</v>
      </c>
      <c r="BI37" t="s">
        <v>946</v>
      </c>
      <c r="BJ37" t="s">
        <v>946</v>
      </c>
      <c r="BK37" t="s">
        <v>946</v>
      </c>
      <c r="BL37" t="s">
        <v>946</v>
      </c>
      <c r="BM37" t="s">
        <v>946</v>
      </c>
      <c r="BN37" t="s">
        <v>946</v>
      </c>
      <c r="BO37" t="s">
        <v>946</v>
      </c>
      <c r="BP37" t="s">
        <v>946</v>
      </c>
      <c r="BQ37" t="s">
        <v>549</v>
      </c>
      <c r="BR37" t="s">
        <v>549</v>
      </c>
      <c r="BS37" t="s">
        <v>549</v>
      </c>
      <c r="BT37" t="s">
        <v>946</v>
      </c>
      <c r="BU37" t="s">
        <v>549</v>
      </c>
      <c r="BV37" t="s">
        <v>549</v>
      </c>
      <c r="BW37" t="s">
        <v>946</v>
      </c>
      <c r="BX37" t="s">
        <v>946</v>
      </c>
      <c r="BY37" t="s">
        <v>946</v>
      </c>
      <c r="BZ37" t="s">
        <v>946</v>
      </c>
      <c r="CA37" t="s">
        <v>549</v>
      </c>
    </row>
    <row r="38" spans="1:79" x14ac:dyDescent="0.2">
      <c r="A38" t="s">
        <v>94</v>
      </c>
      <c r="B38" t="s">
        <v>946</v>
      </c>
      <c r="C38" t="s">
        <v>94</v>
      </c>
      <c r="D38" t="s">
        <v>94</v>
      </c>
      <c r="E38" t="s">
        <v>946</v>
      </c>
      <c r="F38" t="s">
        <v>946</v>
      </c>
      <c r="G38" t="s">
        <v>946</v>
      </c>
      <c r="H38" t="s">
        <v>946</v>
      </c>
      <c r="I38" t="s">
        <v>94</v>
      </c>
      <c r="J38" t="s">
        <v>946</v>
      </c>
      <c r="K38" t="s">
        <v>946</v>
      </c>
      <c r="L38" t="s">
        <v>946</v>
      </c>
      <c r="M38" t="s">
        <v>946</v>
      </c>
      <c r="N38" t="s">
        <v>946</v>
      </c>
      <c r="O38" t="s">
        <v>946</v>
      </c>
      <c r="P38" t="s">
        <v>946</v>
      </c>
      <c r="Q38" t="s">
        <v>946</v>
      </c>
      <c r="R38" t="s">
        <v>946</v>
      </c>
      <c r="S38" t="s">
        <v>946</v>
      </c>
      <c r="T38" t="s">
        <v>946</v>
      </c>
      <c r="U38" t="s">
        <v>946</v>
      </c>
      <c r="V38" t="s">
        <v>946</v>
      </c>
      <c r="W38" t="s">
        <v>946</v>
      </c>
      <c r="X38" t="s">
        <v>946</v>
      </c>
      <c r="Y38" t="s">
        <v>946</v>
      </c>
      <c r="Z38" t="s">
        <v>946</v>
      </c>
      <c r="AA38" t="s">
        <v>946</v>
      </c>
      <c r="AB38" t="s">
        <v>946</v>
      </c>
      <c r="AC38" t="s">
        <v>946</v>
      </c>
      <c r="AD38" t="s">
        <v>946</v>
      </c>
      <c r="AE38" t="s">
        <v>946</v>
      </c>
      <c r="AF38" t="s">
        <v>946</v>
      </c>
      <c r="AG38" t="s">
        <v>946</v>
      </c>
      <c r="AH38" t="s">
        <v>946</v>
      </c>
      <c r="AI38" t="s">
        <v>946</v>
      </c>
      <c r="AJ38" t="s">
        <v>946</v>
      </c>
      <c r="AK38" t="s">
        <v>946</v>
      </c>
      <c r="AL38" t="s">
        <v>946</v>
      </c>
      <c r="AM38" t="s">
        <v>946</v>
      </c>
      <c r="AN38" t="s">
        <v>946</v>
      </c>
      <c r="AO38" t="s">
        <v>946</v>
      </c>
      <c r="AP38" t="s">
        <v>946</v>
      </c>
      <c r="AQ38" t="s">
        <v>946</v>
      </c>
      <c r="AR38" t="s">
        <v>946</v>
      </c>
      <c r="AS38" t="s">
        <v>946</v>
      </c>
      <c r="AT38" t="s">
        <v>946</v>
      </c>
      <c r="AU38" t="s">
        <v>946</v>
      </c>
      <c r="AV38" t="s">
        <v>946</v>
      </c>
      <c r="AW38" t="s">
        <v>946</v>
      </c>
      <c r="AX38" t="s">
        <v>946</v>
      </c>
      <c r="AY38" t="s">
        <v>946</v>
      </c>
      <c r="AZ38" t="s">
        <v>946</v>
      </c>
      <c r="BA38" t="s">
        <v>946</v>
      </c>
      <c r="BB38" t="s">
        <v>946</v>
      </c>
      <c r="BC38" t="s">
        <v>946</v>
      </c>
      <c r="BD38" t="s">
        <v>946</v>
      </c>
      <c r="BE38" t="s">
        <v>946</v>
      </c>
      <c r="BF38" t="s">
        <v>946</v>
      </c>
      <c r="BG38" t="s">
        <v>946</v>
      </c>
      <c r="BH38" t="s">
        <v>946</v>
      </c>
      <c r="BI38" t="s">
        <v>946</v>
      </c>
      <c r="BJ38" t="s">
        <v>946</v>
      </c>
      <c r="BK38" t="s">
        <v>946</v>
      </c>
      <c r="BL38" t="s">
        <v>946</v>
      </c>
      <c r="BM38" t="s">
        <v>946</v>
      </c>
      <c r="BN38" t="s">
        <v>946</v>
      </c>
      <c r="BO38" t="s">
        <v>946</v>
      </c>
      <c r="BP38" t="s">
        <v>946</v>
      </c>
      <c r="BQ38" t="s">
        <v>946</v>
      </c>
      <c r="BR38" t="s">
        <v>946</v>
      </c>
      <c r="BS38" t="s">
        <v>946</v>
      </c>
      <c r="BT38" t="s">
        <v>946</v>
      </c>
      <c r="BU38" t="s">
        <v>946</v>
      </c>
      <c r="BV38" t="s">
        <v>946</v>
      </c>
      <c r="BW38" t="s">
        <v>946</v>
      </c>
      <c r="BX38" t="s">
        <v>946</v>
      </c>
      <c r="BY38" t="s">
        <v>946</v>
      </c>
      <c r="BZ38" t="s">
        <v>946</v>
      </c>
      <c r="CA38" t="s">
        <v>946</v>
      </c>
    </row>
    <row r="39" spans="1:79" x14ac:dyDescent="0.2">
      <c r="A39" t="s">
        <v>555</v>
      </c>
      <c r="B39" t="s">
        <v>946</v>
      </c>
      <c r="C39" t="s">
        <v>946</v>
      </c>
      <c r="D39" t="s">
        <v>946</v>
      </c>
      <c r="E39" t="s">
        <v>946</v>
      </c>
      <c r="F39" t="s">
        <v>946</v>
      </c>
      <c r="G39" t="s">
        <v>946</v>
      </c>
      <c r="H39" t="s">
        <v>946</v>
      </c>
      <c r="I39" t="s">
        <v>946</v>
      </c>
      <c r="J39" t="s">
        <v>946</v>
      </c>
      <c r="K39" t="s">
        <v>946</v>
      </c>
      <c r="L39" t="s">
        <v>946</v>
      </c>
      <c r="M39" t="s">
        <v>946</v>
      </c>
      <c r="N39" t="s">
        <v>946</v>
      </c>
      <c r="O39" t="s">
        <v>946</v>
      </c>
      <c r="P39" t="s">
        <v>946</v>
      </c>
      <c r="Q39" t="s">
        <v>946</v>
      </c>
      <c r="R39" t="s">
        <v>946</v>
      </c>
      <c r="S39" t="s">
        <v>555</v>
      </c>
      <c r="T39" t="s">
        <v>946</v>
      </c>
      <c r="U39" t="s">
        <v>555</v>
      </c>
      <c r="V39" t="s">
        <v>946</v>
      </c>
      <c r="W39" t="s">
        <v>946</v>
      </c>
      <c r="X39" t="s">
        <v>946</v>
      </c>
      <c r="Y39" t="s">
        <v>946</v>
      </c>
      <c r="Z39" t="s">
        <v>555</v>
      </c>
      <c r="AA39" t="s">
        <v>946</v>
      </c>
      <c r="AB39" t="s">
        <v>946</v>
      </c>
      <c r="AC39" t="s">
        <v>555</v>
      </c>
      <c r="AD39" t="s">
        <v>555</v>
      </c>
      <c r="AE39" t="s">
        <v>946</v>
      </c>
      <c r="AF39" t="s">
        <v>946</v>
      </c>
      <c r="AG39" t="s">
        <v>946</v>
      </c>
      <c r="AH39" t="s">
        <v>946</v>
      </c>
      <c r="AI39" t="s">
        <v>946</v>
      </c>
      <c r="AJ39" t="s">
        <v>946</v>
      </c>
      <c r="AK39" t="s">
        <v>946</v>
      </c>
      <c r="AL39" t="s">
        <v>946</v>
      </c>
      <c r="AM39" t="s">
        <v>946</v>
      </c>
      <c r="AN39" t="s">
        <v>946</v>
      </c>
      <c r="AO39" t="s">
        <v>946</v>
      </c>
      <c r="AP39" t="s">
        <v>555</v>
      </c>
      <c r="AQ39" t="s">
        <v>555</v>
      </c>
      <c r="AR39" t="s">
        <v>946</v>
      </c>
      <c r="AS39" t="s">
        <v>946</v>
      </c>
      <c r="AT39" t="s">
        <v>946</v>
      </c>
      <c r="AU39" t="s">
        <v>946</v>
      </c>
      <c r="AV39" t="s">
        <v>946</v>
      </c>
      <c r="AW39" t="s">
        <v>946</v>
      </c>
      <c r="AX39" t="s">
        <v>946</v>
      </c>
      <c r="AY39" t="s">
        <v>946</v>
      </c>
      <c r="AZ39" t="s">
        <v>946</v>
      </c>
      <c r="BA39" t="s">
        <v>555</v>
      </c>
      <c r="BB39" t="s">
        <v>555</v>
      </c>
      <c r="BC39" t="s">
        <v>555</v>
      </c>
      <c r="BD39" t="s">
        <v>555</v>
      </c>
      <c r="BE39" t="s">
        <v>946</v>
      </c>
      <c r="BF39" t="s">
        <v>946</v>
      </c>
      <c r="BG39" t="s">
        <v>946</v>
      </c>
      <c r="BH39" t="s">
        <v>946</v>
      </c>
      <c r="BI39" t="s">
        <v>946</v>
      </c>
      <c r="BJ39" t="s">
        <v>946</v>
      </c>
      <c r="BK39" t="s">
        <v>946</v>
      </c>
      <c r="BL39" t="s">
        <v>946</v>
      </c>
      <c r="BM39" t="s">
        <v>946</v>
      </c>
      <c r="BN39" t="s">
        <v>946</v>
      </c>
      <c r="BO39" t="s">
        <v>946</v>
      </c>
      <c r="BP39" t="s">
        <v>946</v>
      </c>
      <c r="BQ39" t="s">
        <v>555</v>
      </c>
      <c r="BR39" t="s">
        <v>946</v>
      </c>
      <c r="BS39" t="s">
        <v>946</v>
      </c>
      <c r="BT39" t="s">
        <v>946</v>
      </c>
      <c r="BU39" t="s">
        <v>946</v>
      </c>
      <c r="BV39" t="s">
        <v>946</v>
      </c>
      <c r="BW39" t="s">
        <v>946</v>
      </c>
      <c r="BX39" t="s">
        <v>946</v>
      </c>
      <c r="BY39" t="s">
        <v>946</v>
      </c>
      <c r="BZ39" t="s">
        <v>946</v>
      </c>
      <c r="CA39" t="s">
        <v>946</v>
      </c>
    </row>
    <row r="40" spans="1:79" x14ac:dyDescent="0.2">
      <c r="A40" t="s">
        <v>33</v>
      </c>
      <c r="B40" t="s">
        <v>946</v>
      </c>
      <c r="C40" t="s">
        <v>946</v>
      </c>
      <c r="D40" t="s">
        <v>946</v>
      </c>
      <c r="E40" t="s">
        <v>946</v>
      </c>
      <c r="F40" t="s">
        <v>946</v>
      </c>
      <c r="G40" t="s">
        <v>946</v>
      </c>
      <c r="H40" t="s">
        <v>946</v>
      </c>
      <c r="I40" t="s">
        <v>946</v>
      </c>
      <c r="J40" t="s">
        <v>946</v>
      </c>
      <c r="K40" t="s">
        <v>946</v>
      </c>
      <c r="L40" t="s">
        <v>946</v>
      </c>
      <c r="M40" t="s">
        <v>946</v>
      </c>
      <c r="N40" t="s">
        <v>946</v>
      </c>
      <c r="O40" t="s">
        <v>946</v>
      </c>
      <c r="P40" t="s">
        <v>946</v>
      </c>
      <c r="Q40" t="s">
        <v>946</v>
      </c>
      <c r="R40" t="s">
        <v>946</v>
      </c>
      <c r="S40" t="s">
        <v>33</v>
      </c>
      <c r="T40" t="s">
        <v>946</v>
      </c>
      <c r="U40" t="s">
        <v>946</v>
      </c>
      <c r="V40" t="s">
        <v>946</v>
      </c>
      <c r="W40" t="s">
        <v>946</v>
      </c>
      <c r="X40" t="s">
        <v>946</v>
      </c>
      <c r="Y40" t="s">
        <v>946</v>
      </c>
      <c r="Z40" t="s">
        <v>946</v>
      </c>
      <c r="AA40" t="s">
        <v>946</v>
      </c>
      <c r="AB40" t="s">
        <v>946</v>
      </c>
      <c r="AC40" t="s">
        <v>946</v>
      </c>
      <c r="AD40" t="s">
        <v>946</v>
      </c>
      <c r="AE40" t="s">
        <v>946</v>
      </c>
      <c r="AF40" t="s">
        <v>946</v>
      </c>
      <c r="AG40" t="s">
        <v>946</v>
      </c>
      <c r="AH40" t="s">
        <v>946</v>
      </c>
      <c r="AI40" t="s">
        <v>946</v>
      </c>
      <c r="AJ40" t="s">
        <v>946</v>
      </c>
      <c r="AK40" t="s">
        <v>946</v>
      </c>
      <c r="AL40" t="s">
        <v>946</v>
      </c>
      <c r="AM40" t="s">
        <v>946</v>
      </c>
      <c r="AN40" t="s">
        <v>946</v>
      </c>
      <c r="AO40" t="s">
        <v>946</v>
      </c>
      <c r="AP40" t="s">
        <v>33</v>
      </c>
      <c r="AQ40" t="s">
        <v>946</v>
      </c>
      <c r="AR40" t="s">
        <v>946</v>
      </c>
      <c r="AS40" t="s">
        <v>946</v>
      </c>
      <c r="AT40" t="s">
        <v>946</v>
      </c>
      <c r="AU40" t="s">
        <v>946</v>
      </c>
      <c r="AV40" t="s">
        <v>946</v>
      </c>
      <c r="AW40" t="s">
        <v>946</v>
      </c>
      <c r="AX40" t="s">
        <v>946</v>
      </c>
      <c r="AY40" t="s">
        <v>946</v>
      </c>
      <c r="AZ40" t="s">
        <v>946</v>
      </c>
      <c r="BA40" t="s">
        <v>946</v>
      </c>
      <c r="BB40" t="s">
        <v>946</v>
      </c>
      <c r="BC40" t="s">
        <v>946</v>
      </c>
      <c r="BD40" t="s">
        <v>946</v>
      </c>
      <c r="BE40" t="s">
        <v>946</v>
      </c>
      <c r="BF40" t="s">
        <v>946</v>
      </c>
      <c r="BG40" t="s">
        <v>946</v>
      </c>
      <c r="BH40" t="s">
        <v>946</v>
      </c>
      <c r="BI40" t="s">
        <v>946</v>
      </c>
      <c r="BJ40" t="s">
        <v>946</v>
      </c>
      <c r="BK40" t="s">
        <v>946</v>
      </c>
      <c r="BL40" t="s">
        <v>946</v>
      </c>
      <c r="BM40" t="s">
        <v>946</v>
      </c>
      <c r="BN40" t="s">
        <v>946</v>
      </c>
      <c r="BO40" t="s">
        <v>946</v>
      </c>
      <c r="BP40" t="s">
        <v>946</v>
      </c>
      <c r="BQ40" t="s">
        <v>946</v>
      </c>
      <c r="BR40" t="s">
        <v>946</v>
      </c>
      <c r="BS40" t="s">
        <v>946</v>
      </c>
      <c r="BT40" t="s">
        <v>946</v>
      </c>
      <c r="BU40" t="s">
        <v>946</v>
      </c>
      <c r="BV40" t="s">
        <v>946</v>
      </c>
      <c r="BW40" t="s">
        <v>946</v>
      </c>
      <c r="BX40" t="s">
        <v>946</v>
      </c>
      <c r="BY40" t="s">
        <v>946</v>
      </c>
      <c r="BZ40" t="s">
        <v>946</v>
      </c>
      <c r="CA40" t="s">
        <v>946</v>
      </c>
    </row>
    <row r="41" spans="1:79" x14ac:dyDescent="0.2">
      <c r="A41" t="s">
        <v>34</v>
      </c>
      <c r="B41" t="s">
        <v>946</v>
      </c>
      <c r="C41" t="s">
        <v>946</v>
      </c>
      <c r="D41" t="s">
        <v>946</v>
      </c>
      <c r="E41" t="s">
        <v>946</v>
      </c>
      <c r="F41" t="s">
        <v>34</v>
      </c>
      <c r="G41" t="s">
        <v>946</v>
      </c>
      <c r="H41" t="s">
        <v>946</v>
      </c>
      <c r="I41" t="s">
        <v>946</v>
      </c>
      <c r="J41" t="s">
        <v>946</v>
      </c>
      <c r="K41" t="s">
        <v>946</v>
      </c>
      <c r="L41" t="s">
        <v>946</v>
      </c>
      <c r="M41" t="s">
        <v>946</v>
      </c>
      <c r="N41" t="s">
        <v>946</v>
      </c>
      <c r="O41" t="s">
        <v>946</v>
      </c>
      <c r="P41" t="s">
        <v>946</v>
      </c>
      <c r="Q41" t="s">
        <v>946</v>
      </c>
      <c r="R41" t="s">
        <v>946</v>
      </c>
      <c r="S41" t="s">
        <v>946</v>
      </c>
      <c r="T41" t="s">
        <v>946</v>
      </c>
      <c r="U41" t="s">
        <v>946</v>
      </c>
      <c r="V41" t="s">
        <v>946</v>
      </c>
      <c r="W41" t="s">
        <v>946</v>
      </c>
      <c r="X41" t="s">
        <v>946</v>
      </c>
      <c r="Y41" t="s">
        <v>946</v>
      </c>
      <c r="Z41" t="s">
        <v>946</v>
      </c>
      <c r="AA41" t="s">
        <v>946</v>
      </c>
      <c r="AB41" t="s">
        <v>946</v>
      </c>
      <c r="AC41" t="s">
        <v>946</v>
      </c>
      <c r="AD41" t="s">
        <v>946</v>
      </c>
      <c r="AE41" t="s">
        <v>946</v>
      </c>
      <c r="AF41" t="s">
        <v>946</v>
      </c>
      <c r="AG41" t="s">
        <v>946</v>
      </c>
      <c r="AH41" t="s">
        <v>34</v>
      </c>
      <c r="AI41" t="s">
        <v>946</v>
      </c>
      <c r="AJ41" t="s">
        <v>946</v>
      </c>
      <c r="AK41" t="s">
        <v>946</v>
      </c>
      <c r="AL41" t="s">
        <v>946</v>
      </c>
      <c r="AM41" t="s">
        <v>946</v>
      </c>
      <c r="AN41" t="s">
        <v>946</v>
      </c>
      <c r="AO41" t="s">
        <v>946</v>
      </c>
      <c r="AP41" t="s">
        <v>946</v>
      </c>
      <c r="AQ41" t="s">
        <v>946</v>
      </c>
      <c r="AR41" t="s">
        <v>946</v>
      </c>
      <c r="AS41" t="s">
        <v>946</v>
      </c>
      <c r="AT41" t="s">
        <v>946</v>
      </c>
      <c r="AU41" t="s">
        <v>946</v>
      </c>
      <c r="AV41" t="s">
        <v>946</v>
      </c>
      <c r="AW41" t="s">
        <v>946</v>
      </c>
      <c r="AX41" t="s">
        <v>946</v>
      </c>
      <c r="AY41" t="s">
        <v>946</v>
      </c>
      <c r="AZ41" t="s">
        <v>946</v>
      </c>
      <c r="BA41" t="s">
        <v>946</v>
      </c>
      <c r="BB41" t="s">
        <v>946</v>
      </c>
      <c r="BC41" t="s">
        <v>946</v>
      </c>
      <c r="BD41" t="s">
        <v>946</v>
      </c>
      <c r="BE41" t="s">
        <v>946</v>
      </c>
      <c r="BF41" t="s">
        <v>946</v>
      </c>
      <c r="BG41" t="s">
        <v>946</v>
      </c>
      <c r="BH41" t="s">
        <v>946</v>
      </c>
      <c r="BI41" t="s">
        <v>946</v>
      </c>
      <c r="BJ41" t="s">
        <v>946</v>
      </c>
      <c r="BK41" t="s">
        <v>946</v>
      </c>
      <c r="BL41" t="s">
        <v>946</v>
      </c>
      <c r="BM41" t="s">
        <v>946</v>
      </c>
      <c r="BN41" t="s">
        <v>946</v>
      </c>
      <c r="BO41" t="s">
        <v>946</v>
      </c>
      <c r="BP41" t="s">
        <v>946</v>
      </c>
      <c r="BQ41" t="s">
        <v>946</v>
      </c>
      <c r="BR41" t="s">
        <v>946</v>
      </c>
      <c r="BS41" t="s">
        <v>946</v>
      </c>
      <c r="BT41" t="s">
        <v>946</v>
      </c>
      <c r="BU41" t="s">
        <v>946</v>
      </c>
      <c r="BV41" t="s">
        <v>946</v>
      </c>
      <c r="BW41" t="s">
        <v>946</v>
      </c>
      <c r="BX41" t="s">
        <v>946</v>
      </c>
      <c r="BY41" t="s">
        <v>946</v>
      </c>
      <c r="BZ41" t="s">
        <v>946</v>
      </c>
      <c r="CA41" t="s">
        <v>946</v>
      </c>
    </row>
    <row r="42" spans="1:79" x14ac:dyDescent="0.2">
      <c r="A42" t="s">
        <v>35</v>
      </c>
      <c r="B42" t="s">
        <v>35</v>
      </c>
      <c r="C42" t="s">
        <v>946</v>
      </c>
      <c r="D42" t="s">
        <v>946</v>
      </c>
      <c r="E42" t="s">
        <v>946</v>
      </c>
      <c r="F42" t="s">
        <v>35</v>
      </c>
      <c r="G42" t="s">
        <v>946</v>
      </c>
      <c r="H42" t="s">
        <v>946</v>
      </c>
      <c r="I42" t="s">
        <v>946</v>
      </c>
      <c r="J42" t="s">
        <v>946</v>
      </c>
      <c r="K42" t="s">
        <v>946</v>
      </c>
      <c r="L42" t="s">
        <v>946</v>
      </c>
      <c r="M42" t="s">
        <v>946</v>
      </c>
      <c r="N42" t="s">
        <v>35</v>
      </c>
      <c r="O42" t="s">
        <v>946</v>
      </c>
      <c r="P42" t="s">
        <v>946</v>
      </c>
      <c r="Q42" t="s">
        <v>946</v>
      </c>
      <c r="R42" t="s">
        <v>946</v>
      </c>
      <c r="S42" t="s">
        <v>946</v>
      </c>
      <c r="T42" t="s">
        <v>946</v>
      </c>
      <c r="U42" t="s">
        <v>946</v>
      </c>
      <c r="V42" t="s">
        <v>946</v>
      </c>
      <c r="W42" t="s">
        <v>946</v>
      </c>
      <c r="X42" t="s">
        <v>35</v>
      </c>
      <c r="Y42" t="s">
        <v>35</v>
      </c>
      <c r="Z42" t="s">
        <v>946</v>
      </c>
      <c r="AA42" t="s">
        <v>946</v>
      </c>
      <c r="AB42" t="s">
        <v>946</v>
      </c>
      <c r="AC42" t="s">
        <v>946</v>
      </c>
      <c r="AD42" t="s">
        <v>946</v>
      </c>
      <c r="AE42" t="s">
        <v>946</v>
      </c>
      <c r="AF42" t="s">
        <v>35</v>
      </c>
      <c r="AG42" t="s">
        <v>35</v>
      </c>
      <c r="AH42" t="s">
        <v>946</v>
      </c>
      <c r="AI42" t="s">
        <v>946</v>
      </c>
      <c r="AJ42" t="s">
        <v>946</v>
      </c>
      <c r="AK42" t="s">
        <v>946</v>
      </c>
      <c r="AL42" t="s">
        <v>946</v>
      </c>
      <c r="AM42" t="s">
        <v>946</v>
      </c>
      <c r="AN42" t="s">
        <v>946</v>
      </c>
      <c r="AO42" t="s">
        <v>946</v>
      </c>
      <c r="AP42" t="s">
        <v>946</v>
      </c>
      <c r="AQ42" t="s">
        <v>946</v>
      </c>
      <c r="AR42" t="s">
        <v>35</v>
      </c>
      <c r="AS42" t="s">
        <v>35</v>
      </c>
      <c r="AT42" t="s">
        <v>946</v>
      </c>
      <c r="AU42" t="s">
        <v>946</v>
      </c>
      <c r="AV42" t="s">
        <v>946</v>
      </c>
      <c r="AW42" t="s">
        <v>946</v>
      </c>
      <c r="AX42" t="s">
        <v>946</v>
      </c>
      <c r="AY42" t="s">
        <v>946</v>
      </c>
      <c r="AZ42" t="s">
        <v>946</v>
      </c>
      <c r="BA42" t="s">
        <v>946</v>
      </c>
      <c r="BB42" t="s">
        <v>946</v>
      </c>
      <c r="BC42" t="s">
        <v>35</v>
      </c>
      <c r="BD42" t="s">
        <v>946</v>
      </c>
      <c r="BE42" t="s">
        <v>946</v>
      </c>
      <c r="BF42" t="s">
        <v>946</v>
      </c>
      <c r="BG42" t="s">
        <v>946</v>
      </c>
      <c r="BH42" t="s">
        <v>946</v>
      </c>
      <c r="BI42" t="s">
        <v>946</v>
      </c>
      <c r="BJ42" t="s">
        <v>946</v>
      </c>
      <c r="BK42" t="s">
        <v>946</v>
      </c>
      <c r="BL42" t="s">
        <v>946</v>
      </c>
      <c r="BM42" t="s">
        <v>946</v>
      </c>
      <c r="BN42" t="s">
        <v>946</v>
      </c>
      <c r="BO42" t="s">
        <v>946</v>
      </c>
      <c r="BP42" t="s">
        <v>946</v>
      </c>
      <c r="BQ42" t="s">
        <v>946</v>
      </c>
      <c r="BR42" t="s">
        <v>946</v>
      </c>
      <c r="BS42" t="s">
        <v>35</v>
      </c>
      <c r="BT42" t="s">
        <v>946</v>
      </c>
      <c r="BU42" t="s">
        <v>946</v>
      </c>
      <c r="BV42" t="s">
        <v>35</v>
      </c>
      <c r="BW42" t="s">
        <v>946</v>
      </c>
      <c r="BX42" t="s">
        <v>946</v>
      </c>
      <c r="BY42" t="s">
        <v>35</v>
      </c>
      <c r="BZ42" t="s">
        <v>946</v>
      </c>
      <c r="CA42" t="s">
        <v>946</v>
      </c>
    </row>
    <row r="43" spans="1:79" x14ac:dyDescent="0.2">
      <c r="A43" t="s">
        <v>675</v>
      </c>
      <c r="B43" t="s">
        <v>946</v>
      </c>
      <c r="C43" t="s">
        <v>946</v>
      </c>
      <c r="D43" t="s">
        <v>946</v>
      </c>
      <c r="E43" t="s">
        <v>946</v>
      </c>
      <c r="F43" t="s">
        <v>946</v>
      </c>
      <c r="G43" t="s">
        <v>946</v>
      </c>
      <c r="H43" t="s">
        <v>946</v>
      </c>
      <c r="I43" t="s">
        <v>946</v>
      </c>
      <c r="J43" t="s">
        <v>675</v>
      </c>
      <c r="K43" t="s">
        <v>946</v>
      </c>
      <c r="L43" t="s">
        <v>946</v>
      </c>
      <c r="M43" t="s">
        <v>946</v>
      </c>
      <c r="N43" t="s">
        <v>946</v>
      </c>
      <c r="O43" t="s">
        <v>946</v>
      </c>
      <c r="P43" t="s">
        <v>946</v>
      </c>
      <c r="Q43" t="s">
        <v>946</v>
      </c>
      <c r="R43" t="s">
        <v>946</v>
      </c>
      <c r="S43" t="s">
        <v>946</v>
      </c>
      <c r="T43" t="s">
        <v>946</v>
      </c>
      <c r="U43" t="s">
        <v>946</v>
      </c>
      <c r="V43" t="s">
        <v>946</v>
      </c>
      <c r="W43" t="s">
        <v>675</v>
      </c>
      <c r="X43" t="s">
        <v>946</v>
      </c>
      <c r="Y43" t="s">
        <v>946</v>
      </c>
      <c r="Z43" t="s">
        <v>946</v>
      </c>
      <c r="AA43" t="s">
        <v>946</v>
      </c>
      <c r="AB43" t="s">
        <v>946</v>
      </c>
      <c r="AC43" t="s">
        <v>946</v>
      </c>
      <c r="AD43" t="s">
        <v>946</v>
      </c>
      <c r="AE43" t="s">
        <v>946</v>
      </c>
      <c r="AF43" t="s">
        <v>946</v>
      </c>
      <c r="AG43" t="s">
        <v>946</v>
      </c>
      <c r="AH43" t="s">
        <v>946</v>
      </c>
      <c r="AI43" t="s">
        <v>946</v>
      </c>
      <c r="AJ43" t="s">
        <v>946</v>
      </c>
      <c r="AK43" t="s">
        <v>946</v>
      </c>
      <c r="AL43" t="s">
        <v>946</v>
      </c>
      <c r="AM43" t="s">
        <v>946</v>
      </c>
      <c r="AN43" t="s">
        <v>946</v>
      </c>
      <c r="AO43" t="s">
        <v>946</v>
      </c>
      <c r="AP43" t="s">
        <v>946</v>
      </c>
      <c r="AQ43" t="s">
        <v>675</v>
      </c>
      <c r="AR43" t="s">
        <v>946</v>
      </c>
      <c r="AS43" t="s">
        <v>946</v>
      </c>
      <c r="AT43" t="s">
        <v>675</v>
      </c>
      <c r="AU43" t="s">
        <v>946</v>
      </c>
      <c r="AV43" t="s">
        <v>946</v>
      </c>
      <c r="AW43" t="s">
        <v>946</v>
      </c>
      <c r="AX43" t="s">
        <v>946</v>
      </c>
      <c r="AY43" t="s">
        <v>946</v>
      </c>
      <c r="AZ43" t="s">
        <v>946</v>
      </c>
      <c r="BA43" t="s">
        <v>946</v>
      </c>
      <c r="BB43" t="s">
        <v>946</v>
      </c>
      <c r="BC43" t="s">
        <v>946</v>
      </c>
      <c r="BD43" t="s">
        <v>946</v>
      </c>
      <c r="BE43" t="s">
        <v>946</v>
      </c>
      <c r="BF43" t="s">
        <v>946</v>
      </c>
      <c r="BG43" t="s">
        <v>946</v>
      </c>
      <c r="BH43" t="s">
        <v>946</v>
      </c>
      <c r="BI43" t="s">
        <v>946</v>
      </c>
      <c r="BJ43" t="s">
        <v>946</v>
      </c>
      <c r="BK43" t="s">
        <v>946</v>
      </c>
      <c r="BL43" t="s">
        <v>946</v>
      </c>
      <c r="BM43" t="s">
        <v>946</v>
      </c>
      <c r="BN43" t="s">
        <v>946</v>
      </c>
      <c r="BO43" t="s">
        <v>946</v>
      </c>
      <c r="BP43" t="s">
        <v>946</v>
      </c>
      <c r="BQ43" t="s">
        <v>946</v>
      </c>
      <c r="BR43" t="s">
        <v>946</v>
      </c>
      <c r="BS43" t="s">
        <v>946</v>
      </c>
      <c r="BT43" t="s">
        <v>946</v>
      </c>
      <c r="BU43" t="s">
        <v>946</v>
      </c>
      <c r="BV43" t="s">
        <v>946</v>
      </c>
      <c r="BW43" t="s">
        <v>946</v>
      </c>
      <c r="BX43" t="s">
        <v>946</v>
      </c>
      <c r="BY43" t="s">
        <v>946</v>
      </c>
      <c r="BZ43" t="s">
        <v>946</v>
      </c>
      <c r="CA43" t="s">
        <v>946</v>
      </c>
    </row>
    <row r="44" spans="1:79" x14ac:dyDescent="0.2">
      <c r="A44" t="s">
        <v>37</v>
      </c>
      <c r="B44" t="s">
        <v>946</v>
      </c>
      <c r="C44" t="s">
        <v>946</v>
      </c>
      <c r="D44" t="s">
        <v>946</v>
      </c>
      <c r="E44" t="s">
        <v>946</v>
      </c>
      <c r="F44" t="s">
        <v>946</v>
      </c>
      <c r="G44" t="s">
        <v>946</v>
      </c>
      <c r="H44" t="s">
        <v>946</v>
      </c>
      <c r="I44" t="s">
        <v>946</v>
      </c>
      <c r="J44" t="s">
        <v>946</v>
      </c>
      <c r="K44" t="s">
        <v>946</v>
      </c>
      <c r="L44" t="s">
        <v>946</v>
      </c>
      <c r="M44" t="s">
        <v>946</v>
      </c>
      <c r="N44" t="s">
        <v>946</v>
      </c>
      <c r="O44" t="s">
        <v>946</v>
      </c>
      <c r="P44" t="s">
        <v>946</v>
      </c>
      <c r="Q44" t="s">
        <v>946</v>
      </c>
      <c r="R44" t="s">
        <v>946</v>
      </c>
      <c r="S44" t="s">
        <v>946</v>
      </c>
      <c r="T44" t="s">
        <v>946</v>
      </c>
      <c r="U44" t="s">
        <v>946</v>
      </c>
      <c r="V44" t="s">
        <v>946</v>
      </c>
      <c r="W44" t="s">
        <v>946</v>
      </c>
      <c r="X44" t="s">
        <v>946</v>
      </c>
      <c r="Y44" t="s">
        <v>946</v>
      </c>
      <c r="Z44" t="s">
        <v>946</v>
      </c>
      <c r="AA44" t="s">
        <v>946</v>
      </c>
      <c r="AB44" t="s">
        <v>946</v>
      </c>
      <c r="AC44" t="s">
        <v>946</v>
      </c>
      <c r="AD44" t="s">
        <v>946</v>
      </c>
      <c r="AE44" t="s">
        <v>946</v>
      </c>
      <c r="AF44" t="s">
        <v>946</v>
      </c>
      <c r="AG44" t="s">
        <v>946</v>
      </c>
      <c r="AH44" t="s">
        <v>37</v>
      </c>
      <c r="AI44" t="s">
        <v>946</v>
      </c>
      <c r="AJ44" t="s">
        <v>946</v>
      </c>
      <c r="AK44" t="s">
        <v>946</v>
      </c>
      <c r="AL44" t="s">
        <v>946</v>
      </c>
      <c r="AM44" t="s">
        <v>946</v>
      </c>
      <c r="AN44" t="s">
        <v>946</v>
      </c>
      <c r="AO44" t="s">
        <v>946</v>
      </c>
      <c r="AP44" t="s">
        <v>946</v>
      </c>
      <c r="AQ44" t="s">
        <v>946</v>
      </c>
      <c r="AR44" t="s">
        <v>946</v>
      </c>
      <c r="AS44" t="s">
        <v>946</v>
      </c>
      <c r="AT44" t="s">
        <v>946</v>
      </c>
      <c r="AU44" t="s">
        <v>946</v>
      </c>
      <c r="AV44" t="s">
        <v>946</v>
      </c>
      <c r="AW44" t="s">
        <v>946</v>
      </c>
      <c r="AX44" t="s">
        <v>946</v>
      </c>
      <c r="AY44" t="s">
        <v>946</v>
      </c>
      <c r="AZ44" t="s">
        <v>946</v>
      </c>
      <c r="BA44" t="s">
        <v>946</v>
      </c>
      <c r="BB44" t="s">
        <v>946</v>
      </c>
      <c r="BC44" t="s">
        <v>946</v>
      </c>
      <c r="BD44" t="s">
        <v>946</v>
      </c>
      <c r="BE44" t="s">
        <v>946</v>
      </c>
      <c r="BF44" t="s">
        <v>946</v>
      </c>
      <c r="BG44" t="s">
        <v>946</v>
      </c>
      <c r="BH44" t="s">
        <v>946</v>
      </c>
      <c r="BI44" t="s">
        <v>946</v>
      </c>
      <c r="BJ44" t="s">
        <v>946</v>
      </c>
      <c r="BK44" t="s">
        <v>946</v>
      </c>
      <c r="BL44" t="s">
        <v>946</v>
      </c>
      <c r="BM44" t="s">
        <v>946</v>
      </c>
      <c r="BN44" t="s">
        <v>946</v>
      </c>
      <c r="BO44" t="s">
        <v>946</v>
      </c>
      <c r="BP44" t="s">
        <v>946</v>
      </c>
      <c r="BQ44" t="s">
        <v>946</v>
      </c>
      <c r="BR44" t="s">
        <v>946</v>
      </c>
      <c r="BS44" t="s">
        <v>946</v>
      </c>
      <c r="BT44" t="s">
        <v>946</v>
      </c>
      <c r="BU44" t="s">
        <v>946</v>
      </c>
      <c r="BV44" t="s">
        <v>946</v>
      </c>
      <c r="BW44" t="s">
        <v>946</v>
      </c>
      <c r="BX44" t="s">
        <v>946</v>
      </c>
      <c r="BY44" t="s">
        <v>946</v>
      </c>
      <c r="BZ44" t="s">
        <v>37</v>
      </c>
      <c r="CA44" t="s">
        <v>946</v>
      </c>
    </row>
    <row r="45" spans="1:79" x14ac:dyDescent="0.2">
      <c r="A45" t="s">
        <v>217</v>
      </c>
      <c r="B45" t="s">
        <v>946</v>
      </c>
      <c r="C45" t="s">
        <v>946</v>
      </c>
      <c r="D45" t="s">
        <v>946</v>
      </c>
      <c r="E45" t="s">
        <v>946</v>
      </c>
      <c r="F45" t="s">
        <v>217</v>
      </c>
      <c r="G45" t="s">
        <v>946</v>
      </c>
      <c r="H45" t="s">
        <v>217</v>
      </c>
      <c r="I45" t="s">
        <v>946</v>
      </c>
      <c r="J45" t="s">
        <v>946</v>
      </c>
      <c r="K45" t="s">
        <v>946</v>
      </c>
      <c r="L45" t="s">
        <v>946</v>
      </c>
      <c r="M45" t="s">
        <v>946</v>
      </c>
      <c r="N45" t="s">
        <v>946</v>
      </c>
      <c r="O45" t="s">
        <v>946</v>
      </c>
      <c r="P45" t="s">
        <v>946</v>
      </c>
      <c r="Q45" t="s">
        <v>946</v>
      </c>
      <c r="R45" t="s">
        <v>946</v>
      </c>
      <c r="S45" t="s">
        <v>946</v>
      </c>
      <c r="T45" t="s">
        <v>946</v>
      </c>
      <c r="U45" t="s">
        <v>217</v>
      </c>
      <c r="V45" t="s">
        <v>946</v>
      </c>
      <c r="W45" t="s">
        <v>946</v>
      </c>
      <c r="X45" t="s">
        <v>946</v>
      </c>
      <c r="Y45" t="s">
        <v>946</v>
      </c>
      <c r="Z45" t="s">
        <v>946</v>
      </c>
      <c r="AA45" t="s">
        <v>946</v>
      </c>
      <c r="AB45" t="s">
        <v>946</v>
      </c>
      <c r="AC45" t="s">
        <v>946</v>
      </c>
      <c r="AD45" t="s">
        <v>946</v>
      </c>
      <c r="AE45" t="s">
        <v>946</v>
      </c>
      <c r="AF45" t="s">
        <v>946</v>
      </c>
      <c r="AG45" t="s">
        <v>217</v>
      </c>
      <c r="AH45" t="s">
        <v>946</v>
      </c>
      <c r="AI45" t="s">
        <v>946</v>
      </c>
      <c r="AJ45" t="s">
        <v>946</v>
      </c>
      <c r="AK45" t="s">
        <v>946</v>
      </c>
      <c r="AL45" t="s">
        <v>946</v>
      </c>
      <c r="AM45" t="s">
        <v>946</v>
      </c>
      <c r="AN45" t="s">
        <v>946</v>
      </c>
      <c r="AO45" t="s">
        <v>946</v>
      </c>
      <c r="AP45" t="s">
        <v>946</v>
      </c>
      <c r="AQ45" t="s">
        <v>946</v>
      </c>
      <c r="AR45" t="s">
        <v>946</v>
      </c>
      <c r="AS45" t="s">
        <v>946</v>
      </c>
      <c r="AT45" t="s">
        <v>946</v>
      </c>
      <c r="AU45" t="s">
        <v>946</v>
      </c>
      <c r="AV45" t="s">
        <v>946</v>
      </c>
      <c r="AW45" t="s">
        <v>946</v>
      </c>
      <c r="AX45" t="s">
        <v>946</v>
      </c>
      <c r="AY45" t="s">
        <v>946</v>
      </c>
      <c r="AZ45" t="s">
        <v>946</v>
      </c>
      <c r="BA45" t="s">
        <v>946</v>
      </c>
      <c r="BB45" t="s">
        <v>217</v>
      </c>
      <c r="BC45" t="s">
        <v>217</v>
      </c>
      <c r="BD45" t="s">
        <v>217</v>
      </c>
      <c r="BE45" t="s">
        <v>946</v>
      </c>
      <c r="BF45" t="s">
        <v>946</v>
      </c>
      <c r="BG45" t="s">
        <v>946</v>
      </c>
      <c r="BH45" t="s">
        <v>946</v>
      </c>
      <c r="BI45" t="s">
        <v>946</v>
      </c>
      <c r="BJ45" t="s">
        <v>946</v>
      </c>
      <c r="BK45" t="s">
        <v>946</v>
      </c>
      <c r="BL45" t="s">
        <v>946</v>
      </c>
      <c r="BM45" t="s">
        <v>946</v>
      </c>
      <c r="BN45" t="s">
        <v>946</v>
      </c>
      <c r="BO45" t="s">
        <v>946</v>
      </c>
      <c r="BP45" t="s">
        <v>946</v>
      </c>
      <c r="BQ45" t="s">
        <v>946</v>
      </c>
      <c r="BR45" t="s">
        <v>946</v>
      </c>
      <c r="BS45" t="s">
        <v>946</v>
      </c>
      <c r="BT45" t="s">
        <v>946</v>
      </c>
      <c r="BU45" t="s">
        <v>946</v>
      </c>
      <c r="BV45" t="s">
        <v>946</v>
      </c>
      <c r="BW45" t="s">
        <v>946</v>
      </c>
      <c r="BX45" t="s">
        <v>946</v>
      </c>
      <c r="BY45" t="s">
        <v>946</v>
      </c>
      <c r="BZ45" t="s">
        <v>946</v>
      </c>
      <c r="CA45" t="s">
        <v>217</v>
      </c>
    </row>
    <row r="46" spans="1:79" x14ac:dyDescent="0.2">
      <c r="A46" t="s">
        <v>403</v>
      </c>
      <c r="B46" t="s">
        <v>403</v>
      </c>
      <c r="C46" t="s">
        <v>946</v>
      </c>
      <c r="D46" t="s">
        <v>946</v>
      </c>
      <c r="E46" t="s">
        <v>946</v>
      </c>
      <c r="F46" t="s">
        <v>946</v>
      </c>
      <c r="G46" t="s">
        <v>946</v>
      </c>
      <c r="H46" t="s">
        <v>946</v>
      </c>
      <c r="I46" t="s">
        <v>946</v>
      </c>
      <c r="J46" t="s">
        <v>946</v>
      </c>
      <c r="K46" t="s">
        <v>946</v>
      </c>
      <c r="L46" t="s">
        <v>946</v>
      </c>
      <c r="M46" t="s">
        <v>946</v>
      </c>
      <c r="N46" t="s">
        <v>946</v>
      </c>
      <c r="O46" t="s">
        <v>403</v>
      </c>
      <c r="P46" t="s">
        <v>946</v>
      </c>
      <c r="Q46" t="s">
        <v>946</v>
      </c>
      <c r="R46" t="s">
        <v>946</v>
      </c>
      <c r="S46" t="s">
        <v>946</v>
      </c>
      <c r="T46" t="s">
        <v>946</v>
      </c>
      <c r="U46" t="s">
        <v>946</v>
      </c>
      <c r="V46" t="s">
        <v>946</v>
      </c>
      <c r="W46" t="s">
        <v>946</v>
      </c>
      <c r="X46" t="s">
        <v>946</v>
      </c>
      <c r="Y46" t="s">
        <v>946</v>
      </c>
      <c r="Z46" t="s">
        <v>946</v>
      </c>
      <c r="AA46" t="s">
        <v>946</v>
      </c>
      <c r="AB46" t="s">
        <v>946</v>
      </c>
      <c r="AC46" t="s">
        <v>946</v>
      </c>
      <c r="AD46" t="s">
        <v>946</v>
      </c>
      <c r="AE46" t="s">
        <v>946</v>
      </c>
      <c r="AF46" t="s">
        <v>946</v>
      </c>
      <c r="AG46" t="s">
        <v>946</v>
      </c>
      <c r="AH46" t="s">
        <v>946</v>
      </c>
      <c r="AI46" t="s">
        <v>946</v>
      </c>
      <c r="AJ46" t="s">
        <v>946</v>
      </c>
      <c r="AK46" t="s">
        <v>946</v>
      </c>
      <c r="AL46" t="s">
        <v>946</v>
      </c>
      <c r="AM46" t="s">
        <v>946</v>
      </c>
      <c r="AN46" t="s">
        <v>946</v>
      </c>
      <c r="AO46" t="s">
        <v>946</v>
      </c>
      <c r="AP46" t="s">
        <v>946</v>
      </c>
      <c r="AQ46" t="s">
        <v>946</v>
      </c>
      <c r="AR46" t="s">
        <v>946</v>
      </c>
      <c r="AS46" t="s">
        <v>946</v>
      </c>
      <c r="AT46" t="s">
        <v>946</v>
      </c>
      <c r="AU46" t="s">
        <v>946</v>
      </c>
      <c r="AV46" t="s">
        <v>946</v>
      </c>
      <c r="AW46" t="s">
        <v>946</v>
      </c>
      <c r="AX46" t="s">
        <v>946</v>
      </c>
      <c r="AY46" t="s">
        <v>946</v>
      </c>
      <c r="AZ46" t="s">
        <v>946</v>
      </c>
      <c r="BA46" t="s">
        <v>946</v>
      </c>
      <c r="BB46" t="s">
        <v>946</v>
      </c>
      <c r="BC46" t="s">
        <v>946</v>
      </c>
      <c r="BD46" t="s">
        <v>946</v>
      </c>
      <c r="BE46" t="s">
        <v>946</v>
      </c>
      <c r="BF46" t="s">
        <v>946</v>
      </c>
      <c r="BG46" t="s">
        <v>946</v>
      </c>
      <c r="BH46" t="s">
        <v>946</v>
      </c>
      <c r="BI46" t="s">
        <v>946</v>
      </c>
      <c r="BJ46" t="s">
        <v>946</v>
      </c>
      <c r="BK46" t="s">
        <v>946</v>
      </c>
      <c r="BL46" t="s">
        <v>946</v>
      </c>
      <c r="BM46" t="s">
        <v>946</v>
      </c>
      <c r="BN46" t="s">
        <v>946</v>
      </c>
      <c r="BO46" t="s">
        <v>946</v>
      </c>
      <c r="BP46" t="s">
        <v>946</v>
      </c>
      <c r="BQ46" t="s">
        <v>946</v>
      </c>
      <c r="BR46" t="s">
        <v>946</v>
      </c>
      <c r="BS46" t="s">
        <v>946</v>
      </c>
      <c r="BT46" t="s">
        <v>946</v>
      </c>
      <c r="BU46" t="s">
        <v>946</v>
      </c>
      <c r="BV46" t="s">
        <v>946</v>
      </c>
      <c r="BW46" t="s">
        <v>946</v>
      </c>
      <c r="BX46" t="s">
        <v>403</v>
      </c>
      <c r="BY46" t="s">
        <v>946</v>
      </c>
      <c r="BZ46" t="s">
        <v>946</v>
      </c>
      <c r="CA46" t="s">
        <v>946</v>
      </c>
    </row>
    <row r="47" spans="1:79" x14ac:dyDescent="0.2">
      <c r="A47" t="s">
        <v>490</v>
      </c>
      <c r="B47" t="s">
        <v>946</v>
      </c>
      <c r="C47" t="s">
        <v>946</v>
      </c>
      <c r="D47" t="s">
        <v>946</v>
      </c>
      <c r="E47" t="s">
        <v>946</v>
      </c>
      <c r="F47" t="s">
        <v>490</v>
      </c>
      <c r="G47" t="s">
        <v>946</v>
      </c>
      <c r="H47" t="s">
        <v>946</v>
      </c>
      <c r="I47" t="s">
        <v>946</v>
      </c>
      <c r="J47" t="s">
        <v>946</v>
      </c>
      <c r="K47" t="s">
        <v>946</v>
      </c>
      <c r="L47" t="s">
        <v>946</v>
      </c>
      <c r="M47" t="s">
        <v>946</v>
      </c>
      <c r="N47" t="s">
        <v>946</v>
      </c>
      <c r="O47" t="s">
        <v>946</v>
      </c>
      <c r="P47" t="s">
        <v>946</v>
      </c>
      <c r="Q47" t="s">
        <v>946</v>
      </c>
      <c r="R47" t="s">
        <v>946</v>
      </c>
      <c r="S47" t="s">
        <v>946</v>
      </c>
      <c r="T47" t="s">
        <v>946</v>
      </c>
      <c r="U47" t="s">
        <v>946</v>
      </c>
      <c r="V47" t="s">
        <v>946</v>
      </c>
      <c r="W47" t="s">
        <v>946</v>
      </c>
      <c r="X47" t="s">
        <v>946</v>
      </c>
      <c r="Y47" t="s">
        <v>946</v>
      </c>
      <c r="Z47" t="s">
        <v>946</v>
      </c>
      <c r="AA47" t="s">
        <v>946</v>
      </c>
      <c r="AB47" t="s">
        <v>946</v>
      </c>
      <c r="AC47" t="s">
        <v>946</v>
      </c>
      <c r="AD47" t="s">
        <v>946</v>
      </c>
      <c r="AE47" t="s">
        <v>946</v>
      </c>
      <c r="AF47" t="s">
        <v>946</v>
      </c>
      <c r="AG47" t="s">
        <v>946</v>
      </c>
      <c r="AH47" t="s">
        <v>946</v>
      </c>
      <c r="AI47" t="s">
        <v>946</v>
      </c>
      <c r="AJ47" t="s">
        <v>946</v>
      </c>
      <c r="AK47" t="s">
        <v>946</v>
      </c>
      <c r="AL47" t="s">
        <v>946</v>
      </c>
      <c r="AM47" t="s">
        <v>946</v>
      </c>
      <c r="AN47" t="s">
        <v>946</v>
      </c>
      <c r="AO47" t="s">
        <v>946</v>
      </c>
      <c r="AP47" t="s">
        <v>946</v>
      </c>
      <c r="AQ47" t="s">
        <v>946</v>
      </c>
      <c r="AR47" t="s">
        <v>946</v>
      </c>
      <c r="AS47" t="s">
        <v>946</v>
      </c>
      <c r="AT47" t="s">
        <v>946</v>
      </c>
      <c r="AU47" t="s">
        <v>946</v>
      </c>
      <c r="AV47" t="s">
        <v>946</v>
      </c>
      <c r="AW47" t="s">
        <v>946</v>
      </c>
      <c r="AX47" t="s">
        <v>946</v>
      </c>
      <c r="AY47" t="s">
        <v>946</v>
      </c>
      <c r="AZ47" t="s">
        <v>946</v>
      </c>
      <c r="BA47" t="s">
        <v>946</v>
      </c>
      <c r="BB47" t="s">
        <v>946</v>
      </c>
      <c r="BC47" t="s">
        <v>946</v>
      </c>
      <c r="BD47" t="s">
        <v>946</v>
      </c>
      <c r="BE47" t="s">
        <v>946</v>
      </c>
      <c r="BF47" t="s">
        <v>946</v>
      </c>
      <c r="BG47" t="s">
        <v>946</v>
      </c>
      <c r="BH47" t="s">
        <v>946</v>
      </c>
      <c r="BI47" t="s">
        <v>946</v>
      </c>
      <c r="BJ47" t="s">
        <v>946</v>
      </c>
      <c r="BK47" t="s">
        <v>946</v>
      </c>
      <c r="BL47" t="s">
        <v>946</v>
      </c>
      <c r="BM47" t="s">
        <v>946</v>
      </c>
      <c r="BN47" t="s">
        <v>946</v>
      </c>
      <c r="BO47" t="s">
        <v>946</v>
      </c>
      <c r="BP47" t="s">
        <v>946</v>
      </c>
      <c r="BQ47" t="s">
        <v>946</v>
      </c>
      <c r="BR47" t="s">
        <v>946</v>
      </c>
      <c r="BS47" t="s">
        <v>946</v>
      </c>
      <c r="BT47" t="s">
        <v>946</v>
      </c>
      <c r="BU47" t="s">
        <v>946</v>
      </c>
      <c r="BV47" t="s">
        <v>946</v>
      </c>
      <c r="BW47" t="s">
        <v>946</v>
      </c>
      <c r="BX47" t="s">
        <v>946</v>
      </c>
      <c r="BY47" t="s">
        <v>946</v>
      </c>
      <c r="BZ47" t="s">
        <v>946</v>
      </c>
      <c r="CA47" t="s">
        <v>946</v>
      </c>
    </row>
    <row r="48" spans="1:79" x14ac:dyDescent="0.2">
      <c r="A48" t="s">
        <v>38</v>
      </c>
      <c r="B48" t="s">
        <v>946</v>
      </c>
      <c r="C48" t="s">
        <v>38</v>
      </c>
      <c r="D48" t="s">
        <v>38</v>
      </c>
      <c r="E48" t="s">
        <v>946</v>
      </c>
      <c r="F48" t="s">
        <v>946</v>
      </c>
      <c r="G48" t="s">
        <v>946</v>
      </c>
      <c r="H48" t="s">
        <v>38</v>
      </c>
      <c r="I48" t="s">
        <v>38</v>
      </c>
      <c r="J48" t="s">
        <v>946</v>
      </c>
      <c r="K48" t="s">
        <v>946</v>
      </c>
      <c r="L48" t="s">
        <v>946</v>
      </c>
      <c r="M48" t="s">
        <v>946</v>
      </c>
      <c r="N48" t="s">
        <v>946</v>
      </c>
      <c r="O48" t="s">
        <v>946</v>
      </c>
      <c r="P48" t="s">
        <v>38</v>
      </c>
      <c r="Q48" t="s">
        <v>946</v>
      </c>
      <c r="R48" t="s">
        <v>946</v>
      </c>
      <c r="S48" t="s">
        <v>946</v>
      </c>
      <c r="T48" t="s">
        <v>946</v>
      </c>
      <c r="U48" t="s">
        <v>946</v>
      </c>
      <c r="V48" t="s">
        <v>946</v>
      </c>
      <c r="W48" t="s">
        <v>946</v>
      </c>
      <c r="X48" t="s">
        <v>946</v>
      </c>
      <c r="Y48" t="s">
        <v>946</v>
      </c>
      <c r="Z48" t="s">
        <v>946</v>
      </c>
      <c r="AA48" t="s">
        <v>946</v>
      </c>
      <c r="AB48" t="s">
        <v>946</v>
      </c>
      <c r="AC48" t="s">
        <v>946</v>
      </c>
      <c r="AD48" t="s">
        <v>946</v>
      </c>
      <c r="AE48" t="s">
        <v>946</v>
      </c>
      <c r="AF48" t="s">
        <v>946</v>
      </c>
      <c r="AG48" t="s">
        <v>946</v>
      </c>
      <c r="AH48" t="s">
        <v>946</v>
      </c>
      <c r="AI48" t="s">
        <v>946</v>
      </c>
      <c r="AJ48" t="s">
        <v>946</v>
      </c>
      <c r="AK48" t="s">
        <v>946</v>
      </c>
      <c r="AL48" t="s">
        <v>946</v>
      </c>
      <c r="AM48" t="s">
        <v>946</v>
      </c>
      <c r="AN48" t="s">
        <v>946</v>
      </c>
      <c r="AO48" t="s">
        <v>946</v>
      </c>
      <c r="AP48" t="s">
        <v>946</v>
      </c>
      <c r="AQ48" t="s">
        <v>946</v>
      </c>
      <c r="AR48" t="s">
        <v>946</v>
      </c>
      <c r="AS48" t="s">
        <v>946</v>
      </c>
      <c r="AT48" t="s">
        <v>946</v>
      </c>
      <c r="AU48" t="s">
        <v>946</v>
      </c>
      <c r="AV48" t="s">
        <v>946</v>
      </c>
      <c r="AW48" t="s">
        <v>946</v>
      </c>
      <c r="AX48" t="s">
        <v>946</v>
      </c>
      <c r="AY48" t="s">
        <v>946</v>
      </c>
      <c r="AZ48" t="s">
        <v>946</v>
      </c>
      <c r="BA48" t="s">
        <v>946</v>
      </c>
      <c r="BB48" t="s">
        <v>946</v>
      </c>
      <c r="BC48" t="s">
        <v>946</v>
      </c>
      <c r="BD48" t="s">
        <v>946</v>
      </c>
      <c r="BE48" t="s">
        <v>946</v>
      </c>
      <c r="BF48" t="s">
        <v>946</v>
      </c>
      <c r="BG48" t="s">
        <v>946</v>
      </c>
      <c r="BH48" t="s">
        <v>946</v>
      </c>
      <c r="BI48" t="s">
        <v>946</v>
      </c>
      <c r="BJ48" t="s">
        <v>946</v>
      </c>
      <c r="BK48" t="s">
        <v>946</v>
      </c>
      <c r="BL48" t="s">
        <v>946</v>
      </c>
      <c r="BM48" t="s">
        <v>946</v>
      </c>
      <c r="BN48" t="s">
        <v>946</v>
      </c>
      <c r="BO48" t="s">
        <v>946</v>
      </c>
      <c r="BP48" t="s">
        <v>946</v>
      </c>
      <c r="BQ48" t="s">
        <v>946</v>
      </c>
      <c r="BR48" t="s">
        <v>946</v>
      </c>
      <c r="BS48" t="s">
        <v>946</v>
      </c>
      <c r="BT48" t="s">
        <v>946</v>
      </c>
      <c r="BU48" t="s">
        <v>946</v>
      </c>
      <c r="BV48" t="s">
        <v>946</v>
      </c>
      <c r="BW48" t="s">
        <v>946</v>
      </c>
      <c r="BX48" t="s">
        <v>946</v>
      </c>
      <c r="BY48" t="s">
        <v>946</v>
      </c>
      <c r="BZ48" t="s">
        <v>946</v>
      </c>
      <c r="CA48" t="s">
        <v>946</v>
      </c>
    </row>
    <row r="49" spans="1:79" x14ac:dyDescent="0.2">
      <c r="A49" t="s">
        <v>208</v>
      </c>
      <c r="B49" t="s">
        <v>946</v>
      </c>
      <c r="C49" t="s">
        <v>946</v>
      </c>
      <c r="D49" t="s">
        <v>946</v>
      </c>
      <c r="E49" t="s">
        <v>946</v>
      </c>
      <c r="F49" t="s">
        <v>946</v>
      </c>
      <c r="G49" t="s">
        <v>946</v>
      </c>
      <c r="H49" t="s">
        <v>946</v>
      </c>
      <c r="I49" t="s">
        <v>946</v>
      </c>
      <c r="J49" t="s">
        <v>946</v>
      </c>
      <c r="K49" t="s">
        <v>946</v>
      </c>
      <c r="L49" t="s">
        <v>946</v>
      </c>
      <c r="M49" t="s">
        <v>946</v>
      </c>
      <c r="N49" t="s">
        <v>946</v>
      </c>
      <c r="O49" t="s">
        <v>946</v>
      </c>
      <c r="P49" t="s">
        <v>946</v>
      </c>
      <c r="Q49" t="s">
        <v>946</v>
      </c>
      <c r="R49" t="s">
        <v>946</v>
      </c>
      <c r="S49" t="s">
        <v>946</v>
      </c>
      <c r="T49" t="s">
        <v>946</v>
      </c>
      <c r="U49" t="s">
        <v>946</v>
      </c>
      <c r="V49" t="s">
        <v>946</v>
      </c>
      <c r="W49" t="s">
        <v>946</v>
      </c>
      <c r="X49" t="s">
        <v>946</v>
      </c>
      <c r="Y49" t="s">
        <v>946</v>
      </c>
      <c r="Z49" t="s">
        <v>946</v>
      </c>
      <c r="AA49" t="s">
        <v>946</v>
      </c>
      <c r="AB49" t="s">
        <v>946</v>
      </c>
      <c r="AC49" t="s">
        <v>946</v>
      </c>
      <c r="AD49" t="s">
        <v>946</v>
      </c>
      <c r="AE49" t="s">
        <v>946</v>
      </c>
      <c r="AF49" t="s">
        <v>946</v>
      </c>
      <c r="AG49" t="s">
        <v>946</v>
      </c>
      <c r="AH49" t="s">
        <v>946</v>
      </c>
      <c r="AI49" t="s">
        <v>946</v>
      </c>
      <c r="AJ49" t="s">
        <v>946</v>
      </c>
      <c r="AK49" t="s">
        <v>946</v>
      </c>
      <c r="AL49" t="s">
        <v>946</v>
      </c>
      <c r="AM49" t="s">
        <v>946</v>
      </c>
      <c r="AN49" t="s">
        <v>946</v>
      </c>
      <c r="AO49" t="s">
        <v>946</v>
      </c>
      <c r="AP49" t="s">
        <v>946</v>
      </c>
      <c r="AQ49" t="s">
        <v>946</v>
      </c>
      <c r="AR49" t="s">
        <v>946</v>
      </c>
      <c r="AS49" t="s">
        <v>946</v>
      </c>
      <c r="AT49" t="s">
        <v>946</v>
      </c>
      <c r="AU49" t="s">
        <v>946</v>
      </c>
      <c r="AV49" t="s">
        <v>946</v>
      </c>
      <c r="AW49" t="s">
        <v>946</v>
      </c>
      <c r="AX49" t="s">
        <v>946</v>
      </c>
      <c r="AY49" t="s">
        <v>946</v>
      </c>
      <c r="AZ49" t="s">
        <v>946</v>
      </c>
      <c r="BA49" t="s">
        <v>946</v>
      </c>
      <c r="BB49" t="s">
        <v>946</v>
      </c>
      <c r="BC49" t="s">
        <v>946</v>
      </c>
      <c r="BD49" t="s">
        <v>946</v>
      </c>
      <c r="BE49" t="s">
        <v>946</v>
      </c>
      <c r="BF49" t="s">
        <v>946</v>
      </c>
      <c r="BG49" t="s">
        <v>946</v>
      </c>
      <c r="BH49" t="s">
        <v>946</v>
      </c>
      <c r="BI49" t="s">
        <v>946</v>
      </c>
      <c r="BJ49" t="s">
        <v>946</v>
      </c>
      <c r="BK49" t="s">
        <v>946</v>
      </c>
      <c r="BL49" t="s">
        <v>946</v>
      </c>
      <c r="BM49" t="s">
        <v>946</v>
      </c>
      <c r="BN49" t="s">
        <v>946</v>
      </c>
      <c r="BO49" t="s">
        <v>946</v>
      </c>
      <c r="BP49" t="s">
        <v>946</v>
      </c>
      <c r="BQ49" t="s">
        <v>946</v>
      </c>
      <c r="BR49" t="s">
        <v>946</v>
      </c>
      <c r="BS49" t="s">
        <v>946</v>
      </c>
      <c r="BT49" t="s">
        <v>946</v>
      </c>
      <c r="BU49" t="s">
        <v>946</v>
      </c>
      <c r="BV49" t="s">
        <v>946</v>
      </c>
      <c r="BW49" t="s">
        <v>946</v>
      </c>
      <c r="BX49" t="s">
        <v>946</v>
      </c>
      <c r="BY49" t="s">
        <v>946</v>
      </c>
      <c r="BZ49" t="s">
        <v>946</v>
      </c>
      <c r="CA49" t="s">
        <v>946</v>
      </c>
    </row>
    <row r="50" spans="1:79" x14ac:dyDescent="0.2">
      <c r="A50" t="s">
        <v>39</v>
      </c>
      <c r="B50" t="s">
        <v>39</v>
      </c>
      <c r="C50" t="s">
        <v>946</v>
      </c>
      <c r="D50" t="s">
        <v>946</v>
      </c>
      <c r="E50" t="s">
        <v>946</v>
      </c>
      <c r="F50" t="s">
        <v>39</v>
      </c>
      <c r="G50" t="s">
        <v>946</v>
      </c>
      <c r="H50" t="s">
        <v>946</v>
      </c>
      <c r="I50" t="s">
        <v>946</v>
      </c>
      <c r="J50" t="s">
        <v>946</v>
      </c>
      <c r="K50" t="s">
        <v>946</v>
      </c>
      <c r="L50" t="s">
        <v>946</v>
      </c>
      <c r="M50" t="s">
        <v>946</v>
      </c>
      <c r="N50" t="s">
        <v>946</v>
      </c>
      <c r="O50" t="s">
        <v>39</v>
      </c>
      <c r="P50" t="s">
        <v>946</v>
      </c>
      <c r="Q50" t="s">
        <v>946</v>
      </c>
      <c r="R50" t="s">
        <v>946</v>
      </c>
      <c r="S50" t="s">
        <v>946</v>
      </c>
      <c r="T50" t="s">
        <v>946</v>
      </c>
      <c r="U50" t="s">
        <v>946</v>
      </c>
      <c r="V50" t="s">
        <v>946</v>
      </c>
      <c r="W50" t="s">
        <v>946</v>
      </c>
      <c r="X50" t="s">
        <v>946</v>
      </c>
      <c r="Y50" t="s">
        <v>946</v>
      </c>
      <c r="Z50" t="s">
        <v>946</v>
      </c>
      <c r="AA50" t="s">
        <v>39</v>
      </c>
      <c r="AB50" t="s">
        <v>39</v>
      </c>
      <c r="AC50" t="s">
        <v>946</v>
      </c>
      <c r="AD50" t="s">
        <v>946</v>
      </c>
      <c r="AE50" t="s">
        <v>39</v>
      </c>
      <c r="AF50" t="s">
        <v>39</v>
      </c>
      <c r="AG50" t="s">
        <v>39</v>
      </c>
      <c r="AH50" t="s">
        <v>946</v>
      </c>
      <c r="AI50" t="s">
        <v>39</v>
      </c>
      <c r="AJ50" t="s">
        <v>39</v>
      </c>
      <c r="AK50" t="s">
        <v>946</v>
      </c>
      <c r="AL50" t="s">
        <v>946</v>
      </c>
      <c r="AM50" t="s">
        <v>946</v>
      </c>
      <c r="AN50" t="s">
        <v>946</v>
      </c>
      <c r="AO50" t="s">
        <v>39</v>
      </c>
      <c r="AP50" t="s">
        <v>946</v>
      </c>
      <c r="AQ50" t="s">
        <v>946</v>
      </c>
      <c r="AR50" t="s">
        <v>946</v>
      </c>
      <c r="AS50" t="s">
        <v>946</v>
      </c>
      <c r="AT50" t="s">
        <v>946</v>
      </c>
      <c r="AU50" t="s">
        <v>946</v>
      </c>
      <c r="AV50" t="s">
        <v>946</v>
      </c>
      <c r="AW50" t="s">
        <v>946</v>
      </c>
      <c r="AX50" t="s">
        <v>946</v>
      </c>
      <c r="AY50" t="s">
        <v>946</v>
      </c>
      <c r="AZ50" t="s">
        <v>946</v>
      </c>
      <c r="BA50" t="s">
        <v>946</v>
      </c>
      <c r="BB50" t="s">
        <v>946</v>
      </c>
      <c r="BC50" t="s">
        <v>946</v>
      </c>
      <c r="BD50" t="s">
        <v>946</v>
      </c>
      <c r="BE50" t="s">
        <v>946</v>
      </c>
      <c r="BF50" t="s">
        <v>946</v>
      </c>
      <c r="BG50" t="s">
        <v>946</v>
      </c>
      <c r="BH50" t="s">
        <v>946</v>
      </c>
      <c r="BI50" t="s">
        <v>946</v>
      </c>
      <c r="BJ50" t="s">
        <v>946</v>
      </c>
      <c r="BK50" t="s">
        <v>946</v>
      </c>
      <c r="BL50" t="s">
        <v>946</v>
      </c>
      <c r="BM50" t="s">
        <v>946</v>
      </c>
      <c r="BN50" t="s">
        <v>946</v>
      </c>
      <c r="BO50" t="s">
        <v>946</v>
      </c>
      <c r="BP50" t="s">
        <v>946</v>
      </c>
      <c r="BQ50" t="s">
        <v>946</v>
      </c>
      <c r="BR50" t="s">
        <v>946</v>
      </c>
      <c r="BS50" t="s">
        <v>946</v>
      </c>
      <c r="BT50" t="s">
        <v>946</v>
      </c>
      <c r="BU50" t="s">
        <v>946</v>
      </c>
      <c r="BV50" t="s">
        <v>946</v>
      </c>
      <c r="BW50" t="s">
        <v>946</v>
      </c>
      <c r="BX50" t="s">
        <v>946</v>
      </c>
      <c r="BY50" t="s">
        <v>946</v>
      </c>
      <c r="BZ50" t="s">
        <v>946</v>
      </c>
      <c r="CA50" t="s">
        <v>946</v>
      </c>
    </row>
    <row r="51" spans="1:79" x14ac:dyDescent="0.2">
      <c r="A51" t="s">
        <v>404</v>
      </c>
      <c r="B51" t="s">
        <v>946</v>
      </c>
      <c r="C51" t="s">
        <v>946</v>
      </c>
      <c r="D51" t="s">
        <v>946</v>
      </c>
      <c r="E51" t="s">
        <v>946</v>
      </c>
      <c r="F51" t="s">
        <v>946</v>
      </c>
      <c r="G51" t="s">
        <v>946</v>
      </c>
      <c r="H51" t="s">
        <v>946</v>
      </c>
      <c r="I51" t="s">
        <v>946</v>
      </c>
      <c r="J51" t="s">
        <v>946</v>
      </c>
      <c r="K51" t="s">
        <v>946</v>
      </c>
      <c r="L51" t="s">
        <v>946</v>
      </c>
      <c r="M51" t="s">
        <v>946</v>
      </c>
      <c r="N51" t="s">
        <v>946</v>
      </c>
      <c r="O51" t="s">
        <v>946</v>
      </c>
      <c r="P51" t="s">
        <v>946</v>
      </c>
      <c r="Q51" t="s">
        <v>946</v>
      </c>
      <c r="R51" t="s">
        <v>946</v>
      </c>
      <c r="S51" t="s">
        <v>946</v>
      </c>
      <c r="T51" t="s">
        <v>946</v>
      </c>
      <c r="U51" t="s">
        <v>946</v>
      </c>
      <c r="V51" t="s">
        <v>946</v>
      </c>
      <c r="W51" t="s">
        <v>946</v>
      </c>
      <c r="X51" t="s">
        <v>946</v>
      </c>
      <c r="Y51" t="s">
        <v>946</v>
      </c>
      <c r="Z51" t="s">
        <v>946</v>
      </c>
      <c r="AA51" t="s">
        <v>946</v>
      </c>
      <c r="AB51" t="s">
        <v>946</v>
      </c>
      <c r="AC51" t="s">
        <v>946</v>
      </c>
      <c r="AD51" t="s">
        <v>946</v>
      </c>
      <c r="AE51" t="s">
        <v>946</v>
      </c>
      <c r="AF51" t="s">
        <v>946</v>
      </c>
      <c r="AG51" t="s">
        <v>946</v>
      </c>
      <c r="AH51" t="s">
        <v>946</v>
      </c>
      <c r="AI51" t="s">
        <v>946</v>
      </c>
      <c r="AJ51" t="s">
        <v>946</v>
      </c>
      <c r="AK51" t="s">
        <v>946</v>
      </c>
      <c r="AL51" t="s">
        <v>946</v>
      </c>
      <c r="AM51" t="s">
        <v>946</v>
      </c>
      <c r="AN51" t="s">
        <v>946</v>
      </c>
      <c r="AO51" t="s">
        <v>946</v>
      </c>
      <c r="AP51" t="s">
        <v>946</v>
      </c>
      <c r="AQ51" t="s">
        <v>946</v>
      </c>
      <c r="AR51" t="s">
        <v>946</v>
      </c>
      <c r="AS51" t="s">
        <v>946</v>
      </c>
      <c r="AT51" t="s">
        <v>946</v>
      </c>
      <c r="AU51" t="s">
        <v>946</v>
      </c>
      <c r="AV51" t="s">
        <v>946</v>
      </c>
      <c r="AW51" t="s">
        <v>946</v>
      </c>
      <c r="AX51" t="s">
        <v>946</v>
      </c>
      <c r="AY51" t="s">
        <v>946</v>
      </c>
      <c r="AZ51" t="s">
        <v>946</v>
      </c>
      <c r="BA51" t="s">
        <v>946</v>
      </c>
      <c r="BB51" t="s">
        <v>946</v>
      </c>
      <c r="BC51" t="s">
        <v>946</v>
      </c>
      <c r="BD51" t="s">
        <v>946</v>
      </c>
      <c r="BE51" t="s">
        <v>946</v>
      </c>
      <c r="BF51" t="s">
        <v>946</v>
      </c>
      <c r="BG51" t="s">
        <v>946</v>
      </c>
      <c r="BH51" t="s">
        <v>946</v>
      </c>
      <c r="BI51" t="s">
        <v>946</v>
      </c>
      <c r="BJ51" t="s">
        <v>946</v>
      </c>
      <c r="BK51" t="s">
        <v>946</v>
      </c>
      <c r="BL51" t="s">
        <v>946</v>
      </c>
      <c r="BM51" t="s">
        <v>946</v>
      </c>
      <c r="BN51" t="s">
        <v>946</v>
      </c>
      <c r="BO51" t="s">
        <v>946</v>
      </c>
      <c r="BP51" t="s">
        <v>946</v>
      </c>
      <c r="BQ51" t="s">
        <v>946</v>
      </c>
      <c r="BR51" t="s">
        <v>946</v>
      </c>
      <c r="BS51" t="s">
        <v>946</v>
      </c>
      <c r="BT51" t="s">
        <v>946</v>
      </c>
      <c r="BU51" t="s">
        <v>946</v>
      </c>
      <c r="BV51" t="s">
        <v>946</v>
      </c>
      <c r="BW51" t="s">
        <v>946</v>
      </c>
      <c r="BX51" t="s">
        <v>946</v>
      </c>
      <c r="BY51" t="s">
        <v>946</v>
      </c>
      <c r="BZ51" t="s">
        <v>946</v>
      </c>
      <c r="CA51" t="s">
        <v>946</v>
      </c>
    </row>
    <row r="52" spans="1:79" x14ac:dyDescent="0.2">
      <c r="A52" t="s">
        <v>41</v>
      </c>
      <c r="B52" t="s">
        <v>946</v>
      </c>
      <c r="C52" t="s">
        <v>946</v>
      </c>
      <c r="D52" t="s">
        <v>946</v>
      </c>
      <c r="E52" t="s">
        <v>946</v>
      </c>
      <c r="F52" t="s">
        <v>946</v>
      </c>
      <c r="G52" t="s">
        <v>946</v>
      </c>
      <c r="H52" t="s">
        <v>946</v>
      </c>
      <c r="I52" t="s">
        <v>946</v>
      </c>
      <c r="J52" t="s">
        <v>946</v>
      </c>
      <c r="K52" t="s">
        <v>946</v>
      </c>
      <c r="L52" t="s">
        <v>946</v>
      </c>
      <c r="M52" t="s">
        <v>946</v>
      </c>
      <c r="N52" t="s">
        <v>946</v>
      </c>
      <c r="O52" t="s">
        <v>946</v>
      </c>
      <c r="P52" t="s">
        <v>946</v>
      </c>
      <c r="Q52" t="s">
        <v>946</v>
      </c>
      <c r="R52" t="s">
        <v>946</v>
      </c>
      <c r="S52" t="s">
        <v>946</v>
      </c>
      <c r="T52" t="s">
        <v>946</v>
      </c>
      <c r="U52" t="s">
        <v>946</v>
      </c>
      <c r="V52" t="s">
        <v>946</v>
      </c>
      <c r="W52" t="s">
        <v>946</v>
      </c>
      <c r="X52" t="s">
        <v>946</v>
      </c>
      <c r="Y52" t="s">
        <v>946</v>
      </c>
      <c r="Z52" t="s">
        <v>946</v>
      </c>
      <c r="AA52" t="s">
        <v>946</v>
      </c>
      <c r="AB52" t="s">
        <v>946</v>
      </c>
      <c r="AC52" t="s">
        <v>946</v>
      </c>
      <c r="AD52" t="s">
        <v>946</v>
      </c>
      <c r="AE52" t="s">
        <v>946</v>
      </c>
      <c r="AF52" t="s">
        <v>946</v>
      </c>
      <c r="AG52" t="s">
        <v>946</v>
      </c>
      <c r="AH52" t="s">
        <v>946</v>
      </c>
      <c r="AI52" t="s">
        <v>946</v>
      </c>
      <c r="AJ52" t="s">
        <v>946</v>
      </c>
      <c r="AK52" t="s">
        <v>946</v>
      </c>
      <c r="AL52" t="s">
        <v>946</v>
      </c>
      <c r="AM52" t="s">
        <v>946</v>
      </c>
      <c r="AN52" t="s">
        <v>946</v>
      </c>
      <c r="AO52" t="s">
        <v>946</v>
      </c>
      <c r="AP52" t="s">
        <v>946</v>
      </c>
      <c r="AQ52" t="s">
        <v>946</v>
      </c>
      <c r="AR52" t="s">
        <v>946</v>
      </c>
      <c r="AS52" t="s">
        <v>946</v>
      </c>
      <c r="AT52" t="s">
        <v>946</v>
      </c>
      <c r="AU52" t="s">
        <v>946</v>
      </c>
      <c r="AV52" t="s">
        <v>946</v>
      </c>
      <c r="AW52" t="s">
        <v>946</v>
      </c>
      <c r="AX52" t="s">
        <v>946</v>
      </c>
      <c r="AY52" t="s">
        <v>946</v>
      </c>
      <c r="AZ52" t="s">
        <v>946</v>
      </c>
      <c r="BA52" t="s">
        <v>946</v>
      </c>
      <c r="BB52" t="s">
        <v>946</v>
      </c>
      <c r="BC52" t="s">
        <v>946</v>
      </c>
      <c r="BD52" t="s">
        <v>946</v>
      </c>
      <c r="BE52" t="s">
        <v>946</v>
      </c>
      <c r="BF52" t="s">
        <v>946</v>
      </c>
      <c r="BG52" t="s">
        <v>946</v>
      </c>
      <c r="BH52" t="s">
        <v>946</v>
      </c>
      <c r="BI52" t="s">
        <v>946</v>
      </c>
      <c r="BJ52" t="s">
        <v>946</v>
      </c>
      <c r="BK52" t="s">
        <v>946</v>
      </c>
      <c r="BL52" t="s">
        <v>946</v>
      </c>
      <c r="BM52" t="s">
        <v>946</v>
      </c>
      <c r="BN52" t="s">
        <v>946</v>
      </c>
      <c r="BO52" t="s">
        <v>946</v>
      </c>
      <c r="BP52" t="s">
        <v>946</v>
      </c>
      <c r="BQ52" t="s">
        <v>946</v>
      </c>
      <c r="BR52" t="s">
        <v>946</v>
      </c>
      <c r="BS52" t="s">
        <v>946</v>
      </c>
      <c r="BT52" t="s">
        <v>946</v>
      </c>
      <c r="BU52" t="s">
        <v>946</v>
      </c>
      <c r="BV52" t="s">
        <v>946</v>
      </c>
      <c r="BW52" t="s">
        <v>946</v>
      </c>
      <c r="BX52" t="s">
        <v>946</v>
      </c>
      <c r="BY52" t="s">
        <v>946</v>
      </c>
      <c r="BZ52" t="s">
        <v>946</v>
      </c>
      <c r="CA52" t="s">
        <v>946</v>
      </c>
    </row>
    <row r="53" spans="1:79" x14ac:dyDescent="0.2">
      <c r="A53" t="s">
        <v>556</v>
      </c>
      <c r="B53" t="s">
        <v>946</v>
      </c>
      <c r="C53" t="s">
        <v>946</v>
      </c>
      <c r="D53" t="s">
        <v>946</v>
      </c>
      <c r="E53" t="s">
        <v>946</v>
      </c>
      <c r="F53" t="s">
        <v>556</v>
      </c>
      <c r="G53" t="s">
        <v>946</v>
      </c>
      <c r="H53" t="s">
        <v>946</v>
      </c>
      <c r="I53" t="s">
        <v>946</v>
      </c>
      <c r="J53" t="s">
        <v>946</v>
      </c>
      <c r="K53" t="s">
        <v>946</v>
      </c>
      <c r="L53" t="s">
        <v>946</v>
      </c>
      <c r="M53" t="s">
        <v>946</v>
      </c>
      <c r="N53" t="s">
        <v>946</v>
      </c>
      <c r="O53" t="s">
        <v>946</v>
      </c>
      <c r="P53" t="s">
        <v>946</v>
      </c>
      <c r="Q53" t="s">
        <v>946</v>
      </c>
      <c r="R53" t="s">
        <v>946</v>
      </c>
      <c r="S53" t="s">
        <v>946</v>
      </c>
      <c r="T53" t="s">
        <v>946</v>
      </c>
      <c r="U53" t="s">
        <v>946</v>
      </c>
      <c r="V53" t="s">
        <v>946</v>
      </c>
      <c r="W53" t="s">
        <v>946</v>
      </c>
      <c r="X53" t="s">
        <v>946</v>
      </c>
      <c r="Y53" t="s">
        <v>946</v>
      </c>
      <c r="Z53" t="s">
        <v>946</v>
      </c>
      <c r="AA53" t="s">
        <v>946</v>
      </c>
      <c r="AB53" t="s">
        <v>946</v>
      </c>
      <c r="AC53" t="s">
        <v>946</v>
      </c>
      <c r="AD53" t="s">
        <v>946</v>
      </c>
      <c r="AE53" t="s">
        <v>946</v>
      </c>
      <c r="AF53" t="s">
        <v>946</v>
      </c>
      <c r="AG53" t="s">
        <v>946</v>
      </c>
      <c r="AH53" t="s">
        <v>946</v>
      </c>
      <c r="AI53" t="s">
        <v>946</v>
      </c>
      <c r="AJ53" t="s">
        <v>946</v>
      </c>
      <c r="AK53" t="s">
        <v>946</v>
      </c>
      <c r="AL53" t="s">
        <v>946</v>
      </c>
      <c r="AM53" t="s">
        <v>946</v>
      </c>
      <c r="AN53" t="s">
        <v>946</v>
      </c>
      <c r="AO53" t="s">
        <v>946</v>
      </c>
      <c r="AP53" t="s">
        <v>556</v>
      </c>
      <c r="AQ53" t="s">
        <v>946</v>
      </c>
      <c r="AR53" t="s">
        <v>946</v>
      </c>
      <c r="AS53" t="s">
        <v>946</v>
      </c>
      <c r="AT53" t="s">
        <v>946</v>
      </c>
      <c r="AU53" t="s">
        <v>946</v>
      </c>
      <c r="AV53" t="s">
        <v>946</v>
      </c>
      <c r="AW53" t="s">
        <v>946</v>
      </c>
      <c r="AX53" t="s">
        <v>946</v>
      </c>
      <c r="AY53" t="s">
        <v>946</v>
      </c>
      <c r="AZ53" t="s">
        <v>946</v>
      </c>
      <c r="BA53" t="s">
        <v>946</v>
      </c>
      <c r="BB53" t="s">
        <v>946</v>
      </c>
      <c r="BC53" t="s">
        <v>946</v>
      </c>
      <c r="BD53" t="s">
        <v>946</v>
      </c>
      <c r="BE53" t="s">
        <v>946</v>
      </c>
      <c r="BF53" t="s">
        <v>946</v>
      </c>
      <c r="BG53" t="s">
        <v>946</v>
      </c>
      <c r="BH53" t="s">
        <v>946</v>
      </c>
      <c r="BI53" t="s">
        <v>946</v>
      </c>
      <c r="BJ53" t="s">
        <v>946</v>
      </c>
      <c r="BK53" t="s">
        <v>946</v>
      </c>
      <c r="BL53" t="s">
        <v>946</v>
      </c>
      <c r="BM53" t="s">
        <v>946</v>
      </c>
      <c r="BN53" t="s">
        <v>946</v>
      </c>
      <c r="BO53" t="s">
        <v>946</v>
      </c>
      <c r="BP53" t="s">
        <v>946</v>
      </c>
      <c r="BQ53" t="s">
        <v>946</v>
      </c>
      <c r="BR53" t="s">
        <v>946</v>
      </c>
      <c r="BS53" t="s">
        <v>946</v>
      </c>
      <c r="BT53" t="s">
        <v>556</v>
      </c>
      <c r="BU53" t="s">
        <v>946</v>
      </c>
      <c r="BV53" t="s">
        <v>946</v>
      </c>
      <c r="BW53" t="s">
        <v>946</v>
      </c>
      <c r="BX53" t="s">
        <v>556</v>
      </c>
      <c r="BY53" t="s">
        <v>946</v>
      </c>
      <c r="BZ53" t="s">
        <v>946</v>
      </c>
      <c r="CA53" t="s">
        <v>946</v>
      </c>
    </row>
    <row r="54" spans="1:79" x14ac:dyDescent="0.2">
      <c r="A54" t="s">
        <v>42</v>
      </c>
      <c r="B54" t="s">
        <v>946</v>
      </c>
      <c r="C54" t="s">
        <v>946</v>
      </c>
      <c r="D54" t="s">
        <v>946</v>
      </c>
      <c r="E54" t="s">
        <v>946</v>
      </c>
      <c r="F54" t="s">
        <v>946</v>
      </c>
      <c r="G54" t="s">
        <v>42</v>
      </c>
      <c r="H54" t="s">
        <v>946</v>
      </c>
      <c r="I54" t="s">
        <v>946</v>
      </c>
      <c r="J54" t="s">
        <v>946</v>
      </c>
      <c r="K54" t="s">
        <v>946</v>
      </c>
      <c r="L54" t="s">
        <v>946</v>
      </c>
      <c r="M54" t="s">
        <v>946</v>
      </c>
      <c r="N54" t="s">
        <v>946</v>
      </c>
      <c r="O54" t="s">
        <v>946</v>
      </c>
      <c r="P54" t="s">
        <v>946</v>
      </c>
      <c r="Q54" t="s">
        <v>946</v>
      </c>
      <c r="R54" t="s">
        <v>946</v>
      </c>
      <c r="S54" t="s">
        <v>946</v>
      </c>
      <c r="T54" t="s">
        <v>946</v>
      </c>
      <c r="U54" t="s">
        <v>946</v>
      </c>
      <c r="V54" t="s">
        <v>946</v>
      </c>
      <c r="W54" t="s">
        <v>946</v>
      </c>
      <c r="X54" t="s">
        <v>946</v>
      </c>
      <c r="Y54" t="s">
        <v>946</v>
      </c>
      <c r="Z54" t="s">
        <v>946</v>
      </c>
      <c r="AA54" t="s">
        <v>42</v>
      </c>
      <c r="AB54" t="s">
        <v>42</v>
      </c>
      <c r="AC54" t="s">
        <v>946</v>
      </c>
      <c r="AD54" t="s">
        <v>946</v>
      </c>
      <c r="AE54" t="s">
        <v>946</v>
      </c>
      <c r="AF54" t="s">
        <v>946</v>
      </c>
      <c r="AG54" t="s">
        <v>946</v>
      </c>
      <c r="AH54" t="s">
        <v>42</v>
      </c>
      <c r="AI54" t="s">
        <v>946</v>
      </c>
      <c r="AJ54" t="s">
        <v>946</v>
      </c>
      <c r="AK54" t="s">
        <v>946</v>
      </c>
      <c r="AL54" t="s">
        <v>946</v>
      </c>
      <c r="AM54" t="s">
        <v>42</v>
      </c>
      <c r="AN54" t="s">
        <v>42</v>
      </c>
      <c r="AO54" t="s">
        <v>946</v>
      </c>
      <c r="AP54" t="s">
        <v>946</v>
      </c>
      <c r="AQ54" t="s">
        <v>946</v>
      </c>
      <c r="AR54" t="s">
        <v>946</v>
      </c>
      <c r="AS54" t="s">
        <v>946</v>
      </c>
      <c r="AT54" t="s">
        <v>946</v>
      </c>
      <c r="AU54" t="s">
        <v>946</v>
      </c>
      <c r="AV54" t="s">
        <v>946</v>
      </c>
      <c r="AW54" t="s">
        <v>946</v>
      </c>
      <c r="AX54" t="s">
        <v>946</v>
      </c>
      <c r="AY54" t="s">
        <v>946</v>
      </c>
      <c r="AZ54" t="s">
        <v>946</v>
      </c>
      <c r="BA54" t="s">
        <v>42</v>
      </c>
      <c r="BB54" t="s">
        <v>946</v>
      </c>
      <c r="BC54" t="s">
        <v>946</v>
      </c>
      <c r="BD54" t="s">
        <v>946</v>
      </c>
      <c r="BE54" t="s">
        <v>946</v>
      </c>
      <c r="BF54" t="s">
        <v>946</v>
      </c>
      <c r="BG54" t="s">
        <v>946</v>
      </c>
      <c r="BH54" t="s">
        <v>946</v>
      </c>
      <c r="BI54" t="s">
        <v>946</v>
      </c>
      <c r="BJ54" t="s">
        <v>946</v>
      </c>
      <c r="BK54" t="s">
        <v>946</v>
      </c>
      <c r="BL54" t="s">
        <v>946</v>
      </c>
      <c r="BM54" t="s">
        <v>946</v>
      </c>
      <c r="BN54" t="s">
        <v>946</v>
      </c>
      <c r="BO54" t="s">
        <v>946</v>
      </c>
      <c r="BP54" t="s">
        <v>946</v>
      </c>
      <c r="BQ54" t="s">
        <v>946</v>
      </c>
      <c r="BR54" t="s">
        <v>946</v>
      </c>
      <c r="BS54" t="s">
        <v>946</v>
      </c>
      <c r="BT54" t="s">
        <v>946</v>
      </c>
      <c r="BU54" t="s">
        <v>946</v>
      </c>
      <c r="BV54" t="s">
        <v>946</v>
      </c>
      <c r="BW54" t="s">
        <v>946</v>
      </c>
      <c r="BX54" t="s">
        <v>42</v>
      </c>
      <c r="BY54" t="s">
        <v>946</v>
      </c>
      <c r="BZ54" t="s">
        <v>946</v>
      </c>
      <c r="CA54" t="s">
        <v>946</v>
      </c>
    </row>
    <row r="55" spans="1:79" x14ac:dyDescent="0.2">
      <c r="A55" t="s">
        <v>408</v>
      </c>
      <c r="B55" t="s">
        <v>408</v>
      </c>
      <c r="C55" t="s">
        <v>946</v>
      </c>
      <c r="D55" t="s">
        <v>946</v>
      </c>
      <c r="E55" t="s">
        <v>946</v>
      </c>
      <c r="F55" t="s">
        <v>946</v>
      </c>
      <c r="G55" t="s">
        <v>946</v>
      </c>
      <c r="H55" t="s">
        <v>946</v>
      </c>
      <c r="I55" t="s">
        <v>946</v>
      </c>
      <c r="J55" t="s">
        <v>946</v>
      </c>
      <c r="K55" t="s">
        <v>946</v>
      </c>
      <c r="L55" t="s">
        <v>946</v>
      </c>
      <c r="M55" t="s">
        <v>946</v>
      </c>
      <c r="N55" t="s">
        <v>946</v>
      </c>
      <c r="O55" t="s">
        <v>946</v>
      </c>
      <c r="P55" t="s">
        <v>946</v>
      </c>
      <c r="Q55" t="s">
        <v>946</v>
      </c>
      <c r="R55" t="s">
        <v>946</v>
      </c>
      <c r="S55" t="s">
        <v>946</v>
      </c>
      <c r="T55" t="s">
        <v>946</v>
      </c>
      <c r="U55" t="s">
        <v>946</v>
      </c>
      <c r="V55" t="s">
        <v>946</v>
      </c>
      <c r="W55" t="s">
        <v>946</v>
      </c>
      <c r="X55" t="s">
        <v>946</v>
      </c>
      <c r="Y55" t="s">
        <v>946</v>
      </c>
      <c r="Z55" t="s">
        <v>946</v>
      </c>
      <c r="AA55" t="s">
        <v>946</v>
      </c>
      <c r="AB55" t="s">
        <v>946</v>
      </c>
      <c r="AC55" t="s">
        <v>946</v>
      </c>
      <c r="AD55" t="s">
        <v>946</v>
      </c>
      <c r="AE55" t="s">
        <v>946</v>
      </c>
      <c r="AF55" t="s">
        <v>946</v>
      </c>
      <c r="AG55" t="s">
        <v>946</v>
      </c>
      <c r="AH55" t="s">
        <v>946</v>
      </c>
      <c r="AI55" t="s">
        <v>946</v>
      </c>
      <c r="AJ55" t="s">
        <v>946</v>
      </c>
      <c r="AK55" t="s">
        <v>946</v>
      </c>
      <c r="AL55" t="s">
        <v>946</v>
      </c>
      <c r="AM55" t="s">
        <v>946</v>
      </c>
      <c r="AN55" t="s">
        <v>946</v>
      </c>
      <c r="AO55" t="s">
        <v>946</v>
      </c>
      <c r="AP55" t="s">
        <v>946</v>
      </c>
      <c r="AQ55" t="s">
        <v>946</v>
      </c>
      <c r="AR55" t="s">
        <v>946</v>
      </c>
      <c r="AS55" t="s">
        <v>946</v>
      </c>
      <c r="AT55" t="s">
        <v>946</v>
      </c>
      <c r="AU55" t="s">
        <v>946</v>
      </c>
      <c r="AV55" t="s">
        <v>946</v>
      </c>
      <c r="AW55" t="s">
        <v>946</v>
      </c>
      <c r="AX55" t="s">
        <v>946</v>
      </c>
      <c r="AY55" t="s">
        <v>946</v>
      </c>
      <c r="AZ55" t="s">
        <v>946</v>
      </c>
      <c r="BA55" t="s">
        <v>946</v>
      </c>
      <c r="BB55" t="s">
        <v>946</v>
      </c>
      <c r="BC55" t="s">
        <v>946</v>
      </c>
      <c r="BD55" t="s">
        <v>946</v>
      </c>
      <c r="BE55" t="s">
        <v>946</v>
      </c>
      <c r="BF55" t="s">
        <v>946</v>
      </c>
      <c r="BG55" t="s">
        <v>946</v>
      </c>
      <c r="BH55" t="s">
        <v>946</v>
      </c>
      <c r="BI55" t="s">
        <v>946</v>
      </c>
      <c r="BJ55" t="s">
        <v>946</v>
      </c>
      <c r="BK55" t="s">
        <v>946</v>
      </c>
      <c r="BL55" t="s">
        <v>946</v>
      </c>
      <c r="BM55" t="s">
        <v>946</v>
      </c>
      <c r="BN55" t="s">
        <v>946</v>
      </c>
      <c r="BO55" t="s">
        <v>946</v>
      </c>
      <c r="BP55" t="s">
        <v>946</v>
      </c>
      <c r="BQ55" t="s">
        <v>946</v>
      </c>
      <c r="BR55" t="s">
        <v>946</v>
      </c>
      <c r="BS55" t="s">
        <v>946</v>
      </c>
      <c r="BT55" t="s">
        <v>946</v>
      </c>
      <c r="BU55" t="s">
        <v>946</v>
      </c>
      <c r="BV55" t="s">
        <v>946</v>
      </c>
      <c r="BW55" t="s">
        <v>946</v>
      </c>
      <c r="BX55" t="s">
        <v>946</v>
      </c>
      <c r="BY55" t="s">
        <v>946</v>
      </c>
      <c r="BZ55" t="s">
        <v>946</v>
      </c>
      <c r="CA55" t="s">
        <v>946</v>
      </c>
    </row>
    <row r="56" spans="1:79" x14ac:dyDescent="0.2">
      <c r="A56" t="s">
        <v>409</v>
      </c>
      <c r="B56" t="s">
        <v>946</v>
      </c>
      <c r="C56" t="s">
        <v>946</v>
      </c>
      <c r="D56" t="s">
        <v>946</v>
      </c>
      <c r="E56" t="s">
        <v>946</v>
      </c>
      <c r="F56" t="s">
        <v>946</v>
      </c>
      <c r="G56" t="s">
        <v>946</v>
      </c>
      <c r="H56" t="s">
        <v>946</v>
      </c>
      <c r="I56" t="s">
        <v>946</v>
      </c>
      <c r="J56" t="s">
        <v>946</v>
      </c>
      <c r="K56" t="s">
        <v>946</v>
      </c>
      <c r="L56" t="s">
        <v>946</v>
      </c>
      <c r="M56" t="s">
        <v>946</v>
      </c>
      <c r="N56" t="s">
        <v>946</v>
      </c>
      <c r="O56" t="s">
        <v>946</v>
      </c>
      <c r="P56" t="s">
        <v>946</v>
      </c>
      <c r="Q56" t="s">
        <v>946</v>
      </c>
      <c r="R56" t="s">
        <v>946</v>
      </c>
      <c r="S56" t="s">
        <v>946</v>
      </c>
      <c r="T56" t="s">
        <v>946</v>
      </c>
      <c r="U56" t="s">
        <v>946</v>
      </c>
      <c r="V56" t="s">
        <v>946</v>
      </c>
      <c r="W56" t="s">
        <v>946</v>
      </c>
      <c r="X56" t="s">
        <v>946</v>
      </c>
      <c r="Y56" t="s">
        <v>946</v>
      </c>
      <c r="Z56" t="s">
        <v>946</v>
      </c>
      <c r="AA56" t="s">
        <v>946</v>
      </c>
      <c r="AB56" t="s">
        <v>946</v>
      </c>
      <c r="AC56" t="s">
        <v>946</v>
      </c>
      <c r="AD56" t="s">
        <v>946</v>
      </c>
      <c r="AE56" t="s">
        <v>946</v>
      </c>
      <c r="AF56" t="s">
        <v>946</v>
      </c>
      <c r="AG56" t="s">
        <v>946</v>
      </c>
      <c r="AH56" t="s">
        <v>946</v>
      </c>
      <c r="AI56" t="s">
        <v>946</v>
      </c>
      <c r="AJ56" t="s">
        <v>946</v>
      </c>
      <c r="AK56" t="s">
        <v>946</v>
      </c>
      <c r="AL56" t="s">
        <v>946</v>
      </c>
      <c r="AM56" t="s">
        <v>946</v>
      </c>
      <c r="AN56" t="s">
        <v>946</v>
      </c>
      <c r="AO56" t="s">
        <v>946</v>
      </c>
      <c r="AP56" t="s">
        <v>946</v>
      </c>
      <c r="AQ56" t="s">
        <v>946</v>
      </c>
      <c r="AR56" t="s">
        <v>946</v>
      </c>
      <c r="AS56" t="s">
        <v>946</v>
      </c>
      <c r="AT56" t="s">
        <v>946</v>
      </c>
      <c r="AU56" t="s">
        <v>946</v>
      </c>
      <c r="AV56" t="s">
        <v>946</v>
      </c>
      <c r="AW56" t="s">
        <v>946</v>
      </c>
      <c r="AX56" t="s">
        <v>946</v>
      </c>
      <c r="AY56" t="s">
        <v>946</v>
      </c>
      <c r="AZ56" t="s">
        <v>946</v>
      </c>
      <c r="BA56" t="s">
        <v>946</v>
      </c>
      <c r="BB56" t="s">
        <v>946</v>
      </c>
      <c r="BC56" t="s">
        <v>946</v>
      </c>
      <c r="BD56" t="s">
        <v>946</v>
      </c>
      <c r="BE56" t="s">
        <v>946</v>
      </c>
      <c r="BF56" t="s">
        <v>946</v>
      </c>
      <c r="BG56" t="s">
        <v>946</v>
      </c>
      <c r="BH56" t="s">
        <v>946</v>
      </c>
      <c r="BI56" t="s">
        <v>946</v>
      </c>
      <c r="BJ56" t="s">
        <v>946</v>
      </c>
      <c r="BK56" t="s">
        <v>946</v>
      </c>
      <c r="BL56" t="s">
        <v>946</v>
      </c>
      <c r="BM56" t="s">
        <v>946</v>
      </c>
      <c r="BN56" t="s">
        <v>946</v>
      </c>
      <c r="BO56" t="s">
        <v>946</v>
      </c>
      <c r="BP56" t="s">
        <v>946</v>
      </c>
      <c r="BQ56" t="s">
        <v>946</v>
      </c>
      <c r="BR56" t="s">
        <v>946</v>
      </c>
      <c r="BS56" t="s">
        <v>946</v>
      </c>
      <c r="BT56" t="s">
        <v>946</v>
      </c>
      <c r="BU56" t="s">
        <v>946</v>
      </c>
      <c r="BV56" t="s">
        <v>946</v>
      </c>
      <c r="BW56" t="s">
        <v>946</v>
      </c>
      <c r="BX56" t="s">
        <v>946</v>
      </c>
      <c r="BY56" t="s">
        <v>946</v>
      </c>
      <c r="BZ56" t="s">
        <v>946</v>
      </c>
      <c r="CA56" t="s">
        <v>946</v>
      </c>
    </row>
    <row r="57" spans="1:79" x14ac:dyDescent="0.2">
      <c r="A57" t="s">
        <v>903</v>
      </c>
      <c r="B57" t="s">
        <v>946</v>
      </c>
      <c r="C57" t="s">
        <v>946</v>
      </c>
      <c r="D57" t="s">
        <v>903</v>
      </c>
      <c r="E57" t="s">
        <v>946</v>
      </c>
      <c r="F57" t="s">
        <v>946</v>
      </c>
      <c r="G57" t="s">
        <v>946</v>
      </c>
      <c r="H57" t="s">
        <v>946</v>
      </c>
      <c r="I57" t="s">
        <v>946</v>
      </c>
      <c r="J57" t="s">
        <v>946</v>
      </c>
      <c r="K57" t="s">
        <v>946</v>
      </c>
      <c r="L57" t="s">
        <v>946</v>
      </c>
      <c r="M57" t="s">
        <v>946</v>
      </c>
      <c r="N57" t="s">
        <v>946</v>
      </c>
      <c r="O57" t="s">
        <v>903</v>
      </c>
      <c r="P57" t="s">
        <v>946</v>
      </c>
      <c r="Q57" t="s">
        <v>946</v>
      </c>
      <c r="R57" t="s">
        <v>946</v>
      </c>
      <c r="S57" t="s">
        <v>946</v>
      </c>
      <c r="T57" t="s">
        <v>946</v>
      </c>
      <c r="U57" t="s">
        <v>946</v>
      </c>
      <c r="V57" t="s">
        <v>946</v>
      </c>
      <c r="W57" t="s">
        <v>946</v>
      </c>
      <c r="X57" t="s">
        <v>946</v>
      </c>
      <c r="Y57" t="s">
        <v>946</v>
      </c>
      <c r="Z57" t="s">
        <v>946</v>
      </c>
      <c r="AA57" t="s">
        <v>946</v>
      </c>
      <c r="AB57" t="s">
        <v>946</v>
      </c>
      <c r="AC57" t="s">
        <v>946</v>
      </c>
      <c r="AD57" t="s">
        <v>946</v>
      </c>
      <c r="AE57" t="s">
        <v>946</v>
      </c>
      <c r="AF57" t="s">
        <v>946</v>
      </c>
      <c r="AG57" t="s">
        <v>946</v>
      </c>
      <c r="AH57" t="s">
        <v>946</v>
      </c>
      <c r="AI57" t="s">
        <v>946</v>
      </c>
      <c r="AJ57" t="s">
        <v>946</v>
      </c>
      <c r="AK57" t="s">
        <v>946</v>
      </c>
      <c r="AL57" t="s">
        <v>946</v>
      </c>
      <c r="AM57" t="s">
        <v>946</v>
      </c>
      <c r="AN57" t="s">
        <v>946</v>
      </c>
      <c r="AO57" t="s">
        <v>946</v>
      </c>
      <c r="AP57" t="s">
        <v>946</v>
      </c>
      <c r="AQ57" t="s">
        <v>946</v>
      </c>
      <c r="AR57" t="s">
        <v>946</v>
      </c>
      <c r="AS57" t="s">
        <v>946</v>
      </c>
      <c r="AT57" t="s">
        <v>946</v>
      </c>
      <c r="AU57" t="s">
        <v>946</v>
      </c>
      <c r="AV57" t="s">
        <v>946</v>
      </c>
      <c r="AW57" t="s">
        <v>946</v>
      </c>
      <c r="AX57" t="s">
        <v>946</v>
      </c>
      <c r="AY57" t="s">
        <v>946</v>
      </c>
      <c r="AZ57" t="s">
        <v>946</v>
      </c>
      <c r="BA57" t="s">
        <v>946</v>
      </c>
      <c r="BB57" t="s">
        <v>946</v>
      </c>
      <c r="BC57" t="s">
        <v>946</v>
      </c>
      <c r="BD57" t="s">
        <v>946</v>
      </c>
      <c r="BE57" t="s">
        <v>946</v>
      </c>
      <c r="BF57" t="s">
        <v>946</v>
      </c>
      <c r="BG57" t="s">
        <v>946</v>
      </c>
      <c r="BH57" t="s">
        <v>946</v>
      </c>
      <c r="BI57" t="s">
        <v>946</v>
      </c>
      <c r="BJ57" t="s">
        <v>946</v>
      </c>
      <c r="BK57" t="s">
        <v>946</v>
      </c>
      <c r="BL57" t="s">
        <v>946</v>
      </c>
      <c r="BM57" t="s">
        <v>946</v>
      </c>
      <c r="BN57" t="s">
        <v>946</v>
      </c>
      <c r="BO57" t="s">
        <v>946</v>
      </c>
      <c r="BP57" t="s">
        <v>946</v>
      </c>
      <c r="BQ57" t="s">
        <v>946</v>
      </c>
      <c r="BR57" t="s">
        <v>946</v>
      </c>
      <c r="BS57" t="s">
        <v>946</v>
      </c>
      <c r="BT57" t="s">
        <v>946</v>
      </c>
      <c r="BU57" t="s">
        <v>946</v>
      </c>
      <c r="BV57" t="s">
        <v>946</v>
      </c>
      <c r="BW57" t="s">
        <v>946</v>
      </c>
      <c r="BX57" t="s">
        <v>946</v>
      </c>
      <c r="BY57" t="s">
        <v>946</v>
      </c>
      <c r="BZ57" t="s">
        <v>946</v>
      </c>
      <c r="CA57" t="s">
        <v>946</v>
      </c>
    </row>
    <row r="58" spans="1:79" x14ac:dyDescent="0.2">
      <c r="A58" t="s">
        <v>910</v>
      </c>
      <c r="B58" t="s">
        <v>946</v>
      </c>
      <c r="C58" t="s">
        <v>946</v>
      </c>
      <c r="D58" t="s">
        <v>946</v>
      </c>
      <c r="E58" t="s">
        <v>946</v>
      </c>
      <c r="F58" t="s">
        <v>946</v>
      </c>
      <c r="G58" t="s">
        <v>946</v>
      </c>
      <c r="H58" t="s">
        <v>946</v>
      </c>
      <c r="I58" t="s">
        <v>946</v>
      </c>
      <c r="J58" t="s">
        <v>946</v>
      </c>
      <c r="K58" t="s">
        <v>946</v>
      </c>
      <c r="L58" t="s">
        <v>946</v>
      </c>
      <c r="M58" t="s">
        <v>946</v>
      </c>
      <c r="N58" t="s">
        <v>946</v>
      </c>
      <c r="O58" t="s">
        <v>946</v>
      </c>
      <c r="P58" t="s">
        <v>946</v>
      </c>
      <c r="Q58" t="s">
        <v>946</v>
      </c>
      <c r="R58" t="s">
        <v>946</v>
      </c>
      <c r="S58" t="s">
        <v>946</v>
      </c>
      <c r="T58" t="s">
        <v>946</v>
      </c>
      <c r="U58" t="s">
        <v>946</v>
      </c>
      <c r="V58" t="s">
        <v>946</v>
      </c>
      <c r="W58" t="s">
        <v>946</v>
      </c>
      <c r="X58" t="s">
        <v>946</v>
      </c>
      <c r="Y58" t="s">
        <v>946</v>
      </c>
      <c r="Z58" t="s">
        <v>946</v>
      </c>
      <c r="AA58" t="s">
        <v>910</v>
      </c>
      <c r="AB58" t="s">
        <v>910</v>
      </c>
      <c r="AC58" t="s">
        <v>946</v>
      </c>
      <c r="AD58" t="s">
        <v>946</v>
      </c>
      <c r="AE58" t="s">
        <v>946</v>
      </c>
      <c r="AF58" t="s">
        <v>946</v>
      </c>
      <c r="AG58" t="s">
        <v>946</v>
      </c>
      <c r="AH58" t="s">
        <v>910</v>
      </c>
      <c r="AI58" t="s">
        <v>946</v>
      </c>
      <c r="AJ58" t="s">
        <v>946</v>
      </c>
      <c r="AK58" t="s">
        <v>946</v>
      </c>
      <c r="AL58" t="s">
        <v>946</v>
      </c>
      <c r="AM58" t="s">
        <v>946</v>
      </c>
      <c r="AN58" t="s">
        <v>946</v>
      </c>
      <c r="AO58" t="s">
        <v>946</v>
      </c>
      <c r="AP58" t="s">
        <v>946</v>
      </c>
      <c r="AQ58" t="s">
        <v>946</v>
      </c>
      <c r="AR58" t="s">
        <v>946</v>
      </c>
      <c r="AS58" t="s">
        <v>946</v>
      </c>
      <c r="AT58" t="s">
        <v>946</v>
      </c>
      <c r="AU58" t="s">
        <v>946</v>
      </c>
      <c r="AV58" t="s">
        <v>946</v>
      </c>
      <c r="AW58" t="s">
        <v>946</v>
      </c>
      <c r="AX58" t="s">
        <v>946</v>
      </c>
      <c r="AY58" t="s">
        <v>946</v>
      </c>
      <c r="AZ58" t="s">
        <v>946</v>
      </c>
      <c r="BA58" t="s">
        <v>946</v>
      </c>
      <c r="BB58" t="s">
        <v>946</v>
      </c>
      <c r="BC58" t="s">
        <v>946</v>
      </c>
      <c r="BD58" t="s">
        <v>946</v>
      </c>
      <c r="BE58" t="s">
        <v>946</v>
      </c>
      <c r="BF58" t="s">
        <v>946</v>
      </c>
      <c r="BG58" t="s">
        <v>946</v>
      </c>
      <c r="BH58" t="s">
        <v>946</v>
      </c>
      <c r="BI58" t="s">
        <v>946</v>
      </c>
      <c r="BJ58" t="s">
        <v>946</v>
      </c>
      <c r="BK58" t="s">
        <v>946</v>
      </c>
      <c r="BL58" t="s">
        <v>946</v>
      </c>
      <c r="BM58" t="s">
        <v>946</v>
      </c>
      <c r="BN58" t="s">
        <v>946</v>
      </c>
      <c r="BO58" t="s">
        <v>946</v>
      </c>
      <c r="BP58" t="s">
        <v>946</v>
      </c>
      <c r="BQ58" t="s">
        <v>946</v>
      </c>
      <c r="BR58" t="s">
        <v>946</v>
      </c>
      <c r="BS58" t="s">
        <v>946</v>
      </c>
      <c r="BT58" t="s">
        <v>946</v>
      </c>
      <c r="BU58" t="s">
        <v>946</v>
      </c>
      <c r="BV58" t="s">
        <v>946</v>
      </c>
      <c r="BW58" t="s">
        <v>946</v>
      </c>
      <c r="BX58" t="s">
        <v>946</v>
      </c>
      <c r="BY58" t="s">
        <v>946</v>
      </c>
      <c r="BZ58" t="s">
        <v>946</v>
      </c>
      <c r="CA58" t="s">
        <v>946</v>
      </c>
    </row>
    <row r="59" spans="1:79" x14ac:dyDescent="0.2">
      <c r="A59" t="s">
        <v>912</v>
      </c>
      <c r="B59" t="s">
        <v>946</v>
      </c>
      <c r="C59" t="s">
        <v>946</v>
      </c>
      <c r="D59" t="s">
        <v>946</v>
      </c>
      <c r="E59" t="s">
        <v>946</v>
      </c>
      <c r="F59" t="s">
        <v>946</v>
      </c>
      <c r="G59" t="s">
        <v>946</v>
      </c>
      <c r="H59" t="s">
        <v>946</v>
      </c>
      <c r="I59" t="s">
        <v>946</v>
      </c>
      <c r="J59" t="s">
        <v>946</v>
      </c>
      <c r="K59" t="s">
        <v>946</v>
      </c>
      <c r="L59" t="s">
        <v>946</v>
      </c>
      <c r="M59" t="s">
        <v>946</v>
      </c>
      <c r="N59" t="s">
        <v>946</v>
      </c>
      <c r="O59" t="s">
        <v>946</v>
      </c>
      <c r="P59" t="s">
        <v>946</v>
      </c>
      <c r="Q59" t="s">
        <v>946</v>
      </c>
      <c r="R59" t="s">
        <v>946</v>
      </c>
      <c r="S59" t="s">
        <v>946</v>
      </c>
      <c r="T59" t="s">
        <v>946</v>
      </c>
      <c r="U59" t="s">
        <v>946</v>
      </c>
      <c r="V59" t="s">
        <v>946</v>
      </c>
      <c r="W59" t="s">
        <v>946</v>
      </c>
      <c r="X59" t="s">
        <v>946</v>
      </c>
      <c r="Y59" t="s">
        <v>946</v>
      </c>
      <c r="Z59" t="s">
        <v>946</v>
      </c>
      <c r="AA59" t="s">
        <v>946</v>
      </c>
      <c r="AB59" t="s">
        <v>946</v>
      </c>
      <c r="AC59" t="s">
        <v>912</v>
      </c>
      <c r="AD59" t="s">
        <v>912</v>
      </c>
      <c r="AE59" t="s">
        <v>946</v>
      </c>
      <c r="AF59" t="s">
        <v>946</v>
      </c>
      <c r="AG59" t="s">
        <v>946</v>
      </c>
      <c r="AH59" t="s">
        <v>946</v>
      </c>
      <c r="AI59" t="s">
        <v>946</v>
      </c>
      <c r="AJ59" t="s">
        <v>946</v>
      </c>
      <c r="AK59" t="s">
        <v>946</v>
      </c>
      <c r="AL59" t="s">
        <v>946</v>
      </c>
      <c r="AM59" t="s">
        <v>946</v>
      </c>
      <c r="AN59" t="s">
        <v>946</v>
      </c>
      <c r="AO59" t="s">
        <v>946</v>
      </c>
      <c r="AP59" t="s">
        <v>946</v>
      </c>
      <c r="AQ59" t="s">
        <v>946</v>
      </c>
      <c r="AR59" t="s">
        <v>946</v>
      </c>
      <c r="AS59" t="s">
        <v>946</v>
      </c>
      <c r="AT59" t="s">
        <v>946</v>
      </c>
      <c r="AU59" t="s">
        <v>946</v>
      </c>
      <c r="AV59" t="s">
        <v>946</v>
      </c>
      <c r="AW59" t="s">
        <v>946</v>
      </c>
      <c r="AX59" t="s">
        <v>946</v>
      </c>
      <c r="AY59" t="s">
        <v>946</v>
      </c>
      <c r="AZ59" t="s">
        <v>946</v>
      </c>
      <c r="BA59" t="s">
        <v>946</v>
      </c>
      <c r="BB59" t="s">
        <v>946</v>
      </c>
      <c r="BC59" t="s">
        <v>946</v>
      </c>
      <c r="BD59" t="s">
        <v>946</v>
      </c>
      <c r="BE59" t="s">
        <v>946</v>
      </c>
      <c r="BF59" t="s">
        <v>946</v>
      </c>
      <c r="BG59" t="s">
        <v>946</v>
      </c>
      <c r="BH59" t="s">
        <v>946</v>
      </c>
      <c r="BI59" t="s">
        <v>946</v>
      </c>
      <c r="BJ59" t="s">
        <v>946</v>
      </c>
      <c r="BK59" t="s">
        <v>946</v>
      </c>
      <c r="BL59" t="s">
        <v>946</v>
      </c>
      <c r="BM59" t="s">
        <v>946</v>
      </c>
      <c r="BN59" t="s">
        <v>946</v>
      </c>
      <c r="BO59" t="s">
        <v>946</v>
      </c>
      <c r="BP59" t="s">
        <v>946</v>
      </c>
      <c r="BQ59" t="s">
        <v>946</v>
      </c>
      <c r="BR59" t="s">
        <v>946</v>
      </c>
      <c r="BS59" t="s">
        <v>946</v>
      </c>
      <c r="BT59" t="s">
        <v>946</v>
      </c>
      <c r="BU59" t="s">
        <v>946</v>
      </c>
      <c r="BV59" t="s">
        <v>946</v>
      </c>
      <c r="BW59" t="s">
        <v>946</v>
      </c>
      <c r="BX59" t="s">
        <v>946</v>
      </c>
      <c r="BY59" t="s">
        <v>946</v>
      </c>
      <c r="BZ59" t="s">
        <v>946</v>
      </c>
      <c r="CA59" t="s">
        <v>946</v>
      </c>
    </row>
    <row r="60" spans="1:79" x14ac:dyDescent="0.2">
      <c r="A60" t="s">
        <v>913</v>
      </c>
      <c r="B60" t="s">
        <v>946</v>
      </c>
      <c r="C60" t="s">
        <v>946</v>
      </c>
      <c r="D60" t="s">
        <v>946</v>
      </c>
      <c r="E60" t="s">
        <v>946</v>
      </c>
      <c r="F60" t="s">
        <v>946</v>
      </c>
      <c r="G60" t="s">
        <v>913</v>
      </c>
      <c r="H60" t="s">
        <v>946</v>
      </c>
      <c r="I60" t="s">
        <v>946</v>
      </c>
      <c r="J60" t="s">
        <v>946</v>
      </c>
      <c r="K60" t="s">
        <v>946</v>
      </c>
      <c r="L60" t="s">
        <v>946</v>
      </c>
      <c r="M60" t="s">
        <v>946</v>
      </c>
      <c r="N60" t="s">
        <v>946</v>
      </c>
      <c r="O60" t="s">
        <v>946</v>
      </c>
      <c r="P60" t="s">
        <v>946</v>
      </c>
      <c r="Q60" t="s">
        <v>946</v>
      </c>
      <c r="R60" t="s">
        <v>946</v>
      </c>
      <c r="S60" t="s">
        <v>946</v>
      </c>
      <c r="T60" t="s">
        <v>946</v>
      </c>
      <c r="U60" t="s">
        <v>946</v>
      </c>
      <c r="V60" t="s">
        <v>946</v>
      </c>
      <c r="W60" t="s">
        <v>946</v>
      </c>
      <c r="X60" t="s">
        <v>946</v>
      </c>
      <c r="Y60" t="s">
        <v>946</v>
      </c>
      <c r="Z60" t="s">
        <v>946</v>
      </c>
      <c r="AA60" t="s">
        <v>946</v>
      </c>
      <c r="AB60" t="s">
        <v>946</v>
      </c>
      <c r="AC60" t="s">
        <v>913</v>
      </c>
      <c r="AD60" t="s">
        <v>946</v>
      </c>
      <c r="AE60" t="s">
        <v>946</v>
      </c>
      <c r="AF60" t="s">
        <v>946</v>
      </c>
      <c r="AG60" t="s">
        <v>946</v>
      </c>
      <c r="AH60" t="s">
        <v>946</v>
      </c>
      <c r="AI60" t="s">
        <v>946</v>
      </c>
      <c r="AJ60" t="s">
        <v>946</v>
      </c>
      <c r="AK60" t="s">
        <v>946</v>
      </c>
      <c r="AL60" t="s">
        <v>946</v>
      </c>
      <c r="AM60" t="s">
        <v>946</v>
      </c>
      <c r="AN60" t="s">
        <v>946</v>
      </c>
      <c r="AO60" t="s">
        <v>946</v>
      </c>
      <c r="AP60" t="s">
        <v>946</v>
      </c>
      <c r="AQ60" t="s">
        <v>946</v>
      </c>
      <c r="AR60" t="s">
        <v>946</v>
      </c>
      <c r="AS60" t="s">
        <v>946</v>
      </c>
      <c r="AT60" t="s">
        <v>946</v>
      </c>
      <c r="AU60" t="s">
        <v>946</v>
      </c>
      <c r="AV60" t="s">
        <v>946</v>
      </c>
      <c r="AW60" t="s">
        <v>946</v>
      </c>
      <c r="AX60" t="s">
        <v>946</v>
      </c>
      <c r="AY60" t="s">
        <v>946</v>
      </c>
      <c r="AZ60" t="s">
        <v>946</v>
      </c>
      <c r="BA60" t="s">
        <v>946</v>
      </c>
      <c r="BB60" t="s">
        <v>946</v>
      </c>
      <c r="BC60" t="s">
        <v>946</v>
      </c>
      <c r="BD60" t="s">
        <v>946</v>
      </c>
      <c r="BE60" t="s">
        <v>946</v>
      </c>
      <c r="BF60" t="s">
        <v>946</v>
      </c>
      <c r="BG60" t="s">
        <v>946</v>
      </c>
      <c r="BH60" t="s">
        <v>946</v>
      </c>
      <c r="BI60" t="s">
        <v>946</v>
      </c>
      <c r="BJ60" t="s">
        <v>946</v>
      </c>
      <c r="BK60" t="s">
        <v>946</v>
      </c>
      <c r="BL60" t="s">
        <v>946</v>
      </c>
      <c r="BM60" t="s">
        <v>946</v>
      </c>
      <c r="BN60" t="s">
        <v>946</v>
      </c>
      <c r="BO60" t="s">
        <v>946</v>
      </c>
      <c r="BP60" t="s">
        <v>946</v>
      </c>
      <c r="BQ60" t="s">
        <v>946</v>
      </c>
      <c r="BR60" t="s">
        <v>946</v>
      </c>
      <c r="BS60" t="s">
        <v>946</v>
      </c>
      <c r="BT60" t="s">
        <v>946</v>
      </c>
      <c r="BU60" t="s">
        <v>946</v>
      </c>
      <c r="BV60" t="s">
        <v>946</v>
      </c>
      <c r="BW60" t="s">
        <v>946</v>
      </c>
      <c r="BX60" t="s">
        <v>946</v>
      </c>
      <c r="BY60" t="s">
        <v>946</v>
      </c>
      <c r="BZ60" t="s">
        <v>946</v>
      </c>
      <c r="CA60" t="s">
        <v>946</v>
      </c>
    </row>
    <row r="61" spans="1:79" x14ac:dyDescent="0.2">
      <c r="A61" t="s">
        <v>917</v>
      </c>
      <c r="B61" t="s">
        <v>917</v>
      </c>
      <c r="C61" t="s">
        <v>946</v>
      </c>
      <c r="D61" t="s">
        <v>946</v>
      </c>
      <c r="E61" t="s">
        <v>946</v>
      </c>
      <c r="F61" t="s">
        <v>917</v>
      </c>
      <c r="G61" t="s">
        <v>946</v>
      </c>
      <c r="H61" t="s">
        <v>946</v>
      </c>
      <c r="I61" t="s">
        <v>946</v>
      </c>
      <c r="J61" t="s">
        <v>946</v>
      </c>
      <c r="K61" t="s">
        <v>946</v>
      </c>
      <c r="L61" t="s">
        <v>946</v>
      </c>
      <c r="M61" t="s">
        <v>946</v>
      </c>
      <c r="N61" t="s">
        <v>946</v>
      </c>
      <c r="O61" t="s">
        <v>946</v>
      </c>
      <c r="P61" t="s">
        <v>946</v>
      </c>
      <c r="Q61" t="s">
        <v>946</v>
      </c>
      <c r="R61" t="s">
        <v>946</v>
      </c>
      <c r="S61" t="s">
        <v>946</v>
      </c>
      <c r="T61" t="s">
        <v>946</v>
      </c>
      <c r="U61" t="s">
        <v>946</v>
      </c>
      <c r="V61" t="s">
        <v>946</v>
      </c>
      <c r="W61" t="s">
        <v>946</v>
      </c>
      <c r="X61" t="s">
        <v>946</v>
      </c>
      <c r="Y61" t="s">
        <v>946</v>
      </c>
      <c r="Z61" t="s">
        <v>946</v>
      </c>
      <c r="AA61" t="s">
        <v>946</v>
      </c>
      <c r="AB61" t="s">
        <v>946</v>
      </c>
      <c r="AC61" t="s">
        <v>946</v>
      </c>
      <c r="AD61" t="s">
        <v>946</v>
      </c>
      <c r="AE61" t="s">
        <v>946</v>
      </c>
      <c r="AF61" t="s">
        <v>946</v>
      </c>
      <c r="AG61" t="s">
        <v>917</v>
      </c>
      <c r="AH61" t="s">
        <v>917</v>
      </c>
      <c r="AI61" t="s">
        <v>946</v>
      </c>
      <c r="AJ61" t="s">
        <v>946</v>
      </c>
      <c r="AK61" t="s">
        <v>946</v>
      </c>
      <c r="AL61" t="s">
        <v>946</v>
      </c>
      <c r="AM61" t="s">
        <v>946</v>
      </c>
      <c r="AN61" t="s">
        <v>946</v>
      </c>
      <c r="AO61" t="s">
        <v>946</v>
      </c>
      <c r="AP61" t="s">
        <v>946</v>
      </c>
      <c r="AQ61" t="s">
        <v>946</v>
      </c>
      <c r="AR61" t="s">
        <v>946</v>
      </c>
      <c r="AS61" t="s">
        <v>946</v>
      </c>
      <c r="AT61" t="s">
        <v>946</v>
      </c>
      <c r="AU61" t="s">
        <v>946</v>
      </c>
      <c r="AV61" t="s">
        <v>946</v>
      </c>
      <c r="AW61" t="s">
        <v>946</v>
      </c>
      <c r="AX61" t="s">
        <v>946</v>
      </c>
      <c r="AY61" t="s">
        <v>946</v>
      </c>
      <c r="AZ61" t="s">
        <v>946</v>
      </c>
      <c r="BA61" t="s">
        <v>946</v>
      </c>
      <c r="BB61" t="s">
        <v>946</v>
      </c>
      <c r="BC61" t="s">
        <v>946</v>
      </c>
      <c r="BD61" t="s">
        <v>946</v>
      </c>
      <c r="BE61" t="s">
        <v>946</v>
      </c>
      <c r="BF61" t="s">
        <v>946</v>
      </c>
      <c r="BG61" t="s">
        <v>946</v>
      </c>
      <c r="BH61" t="s">
        <v>946</v>
      </c>
      <c r="BI61" t="s">
        <v>946</v>
      </c>
      <c r="BJ61" t="s">
        <v>946</v>
      </c>
      <c r="BK61" t="s">
        <v>946</v>
      </c>
      <c r="BL61" t="s">
        <v>946</v>
      </c>
      <c r="BM61" t="s">
        <v>946</v>
      </c>
      <c r="BN61" t="s">
        <v>946</v>
      </c>
      <c r="BO61" t="s">
        <v>946</v>
      </c>
      <c r="BP61" t="s">
        <v>946</v>
      </c>
      <c r="BQ61" t="s">
        <v>946</v>
      </c>
      <c r="BR61" t="s">
        <v>946</v>
      </c>
      <c r="BS61" t="s">
        <v>946</v>
      </c>
      <c r="BT61" t="s">
        <v>946</v>
      </c>
      <c r="BU61" t="s">
        <v>946</v>
      </c>
      <c r="BV61" t="s">
        <v>946</v>
      </c>
      <c r="BW61" t="s">
        <v>946</v>
      </c>
      <c r="BX61" t="s">
        <v>946</v>
      </c>
      <c r="BY61" t="s">
        <v>946</v>
      </c>
      <c r="BZ61" t="s">
        <v>946</v>
      </c>
      <c r="CA61" t="s">
        <v>946</v>
      </c>
    </row>
    <row r="62" spans="1:79" x14ac:dyDescent="0.2">
      <c r="A62" t="s">
        <v>918</v>
      </c>
      <c r="B62" t="s">
        <v>918</v>
      </c>
      <c r="C62" t="s">
        <v>946</v>
      </c>
      <c r="D62" t="s">
        <v>946</v>
      </c>
      <c r="E62" t="s">
        <v>946</v>
      </c>
      <c r="F62" t="s">
        <v>918</v>
      </c>
      <c r="G62" t="s">
        <v>946</v>
      </c>
      <c r="H62" t="s">
        <v>946</v>
      </c>
      <c r="I62" t="s">
        <v>946</v>
      </c>
      <c r="J62" t="s">
        <v>946</v>
      </c>
      <c r="K62" t="s">
        <v>946</v>
      </c>
      <c r="L62" t="s">
        <v>946</v>
      </c>
      <c r="M62" t="s">
        <v>946</v>
      </c>
      <c r="N62" t="s">
        <v>946</v>
      </c>
      <c r="O62" t="s">
        <v>946</v>
      </c>
      <c r="P62" t="s">
        <v>946</v>
      </c>
      <c r="Q62" t="s">
        <v>946</v>
      </c>
      <c r="R62" t="s">
        <v>946</v>
      </c>
      <c r="S62" t="s">
        <v>946</v>
      </c>
      <c r="T62" t="s">
        <v>946</v>
      </c>
      <c r="U62" t="s">
        <v>946</v>
      </c>
      <c r="V62" t="s">
        <v>946</v>
      </c>
      <c r="W62" t="s">
        <v>946</v>
      </c>
      <c r="X62" t="s">
        <v>946</v>
      </c>
      <c r="Y62" t="s">
        <v>946</v>
      </c>
      <c r="Z62" t="s">
        <v>946</v>
      </c>
      <c r="AA62" t="s">
        <v>946</v>
      </c>
      <c r="AB62" t="s">
        <v>946</v>
      </c>
      <c r="AC62" t="s">
        <v>946</v>
      </c>
      <c r="AD62" t="s">
        <v>946</v>
      </c>
      <c r="AE62" t="s">
        <v>946</v>
      </c>
      <c r="AF62" t="s">
        <v>946</v>
      </c>
      <c r="AG62" t="s">
        <v>918</v>
      </c>
      <c r="AH62" t="s">
        <v>946</v>
      </c>
      <c r="AI62" t="s">
        <v>946</v>
      </c>
      <c r="AJ62" t="s">
        <v>946</v>
      </c>
      <c r="AK62" t="s">
        <v>946</v>
      </c>
      <c r="AL62" t="s">
        <v>946</v>
      </c>
      <c r="AM62" t="s">
        <v>946</v>
      </c>
      <c r="AN62" t="s">
        <v>946</v>
      </c>
      <c r="AO62" t="s">
        <v>946</v>
      </c>
      <c r="AP62" t="s">
        <v>946</v>
      </c>
      <c r="AQ62" t="s">
        <v>946</v>
      </c>
      <c r="AR62" t="s">
        <v>946</v>
      </c>
      <c r="AS62" t="s">
        <v>946</v>
      </c>
      <c r="AT62" t="s">
        <v>946</v>
      </c>
      <c r="AU62" t="s">
        <v>946</v>
      </c>
      <c r="AV62" t="s">
        <v>946</v>
      </c>
      <c r="AW62" t="s">
        <v>946</v>
      </c>
      <c r="AX62" t="s">
        <v>946</v>
      </c>
      <c r="AY62" t="s">
        <v>946</v>
      </c>
      <c r="AZ62" t="s">
        <v>946</v>
      </c>
      <c r="BA62" t="s">
        <v>946</v>
      </c>
      <c r="BB62" t="s">
        <v>946</v>
      </c>
      <c r="BC62" t="s">
        <v>946</v>
      </c>
      <c r="BD62" t="s">
        <v>946</v>
      </c>
      <c r="BE62" t="s">
        <v>946</v>
      </c>
      <c r="BF62" t="s">
        <v>946</v>
      </c>
      <c r="BG62" t="s">
        <v>946</v>
      </c>
      <c r="BH62" t="s">
        <v>946</v>
      </c>
      <c r="BI62" t="s">
        <v>946</v>
      </c>
      <c r="BJ62" t="s">
        <v>946</v>
      </c>
      <c r="BK62" t="s">
        <v>946</v>
      </c>
      <c r="BL62" t="s">
        <v>946</v>
      </c>
      <c r="BM62" t="s">
        <v>946</v>
      </c>
      <c r="BN62" t="s">
        <v>946</v>
      </c>
      <c r="BO62" t="s">
        <v>946</v>
      </c>
      <c r="BP62" t="s">
        <v>946</v>
      </c>
      <c r="BQ62" t="s">
        <v>946</v>
      </c>
      <c r="BR62" t="s">
        <v>946</v>
      </c>
      <c r="BS62" t="s">
        <v>946</v>
      </c>
      <c r="BT62" t="s">
        <v>946</v>
      </c>
      <c r="BU62" t="s">
        <v>946</v>
      </c>
      <c r="BV62" t="s">
        <v>946</v>
      </c>
      <c r="BW62" t="s">
        <v>946</v>
      </c>
      <c r="BX62" t="s">
        <v>946</v>
      </c>
      <c r="BY62" t="s">
        <v>946</v>
      </c>
      <c r="BZ62" t="s">
        <v>946</v>
      </c>
      <c r="CA62" t="s">
        <v>946</v>
      </c>
    </row>
    <row r="63" spans="1:79" x14ac:dyDescent="0.2">
      <c r="A63" t="s">
        <v>919</v>
      </c>
      <c r="B63" t="s">
        <v>946</v>
      </c>
      <c r="C63" t="s">
        <v>946</v>
      </c>
      <c r="D63" t="s">
        <v>946</v>
      </c>
      <c r="E63" t="s">
        <v>946</v>
      </c>
      <c r="F63" t="s">
        <v>946</v>
      </c>
      <c r="G63" t="s">
        <v>946</v>
      </c>
      <c r="H63" t="s">
        <v>946</v>
      </c>
      <c r="I63" t="s">
        <v>946</v>
      </c>
      <c r="J63" t="s">
        <v>946</v>
      </c>
      <c r="K63" t="s">
        <v>946</v>
      </c>
      <c r="L63" t="s">
        <v>946</v>
      </c>
      <c r="M63" t="s">
        <v>946</v>
      </c>
      <c r="N63" t="s">
        <v>946</v>
      </c>
      <c r="O63" t="s">
        <v>919</v>
      </c>
      <c r="P63" t="s">
        <v>946</v>
      </c>
      <c r="Q63" t="s">
        <v>946</v>
      </c>
      <c r="R63" t="s">
        <v>946</v>
      </c>
      <c r="S63" t="s">
        <v>946</v>
      </c>
      <c r="T63" t="s">
        <v>946</v>
      </c>
      <c r="U63" t="s">
        <v>946</v>
      </c>
      <c r="V63" t="s">
        <v>946</v>
      </c>
      <c r="W63" t="s">
        <v>946</v>
      </c>
      <c r="X63" t="s">
        <v>946</v>
      </c>
      <c r="Y63" t="s">
        <v>946</v>
      </c>
      <c r="Z63" t="s">
        <v>946</v>
      </c>
      <c r="AA63" t="s">
        <v>946</v>
      </c>
      <c r="AB63" t="s">
        <v>946</v>
      </c>
      <c r="AC63" t="s">
        <v>946</v>
      </c>
      <c r="AD63" t="s">
        <v>946</v>
      </c>
      <c r="AE63" t="s">
        <v>946</v>
      </c>
      <c r="AF63" t="s">
        <v>946</v>
      </c>
      <c r="AG63" t="s">
        <v>946</v>
      </c>
      <c r="AH63" t="s">
        <v>946</v>
      </c>
      <c r="AI63" t="s">
        <v>946</v>
      </c>
      <c r="AJ63" t="s">
        <v>946</v>
      </c>
      <c r="AK63" t="s">
        <v>946</v>
      </c>
      <c r="AL63" t="s">
        <v>946</v>
      </c>
      <c r="AM63" t="s">
        <v>946</v>
      </c>
      <c r="AN63" t="s">
        <v>946</v>
      </c>
      <c r="AO63" t="s">
        <v>946</v>
      </c>
      <c r="AP63" t="s">
        <v>946</v>
      </c>
      <c r="AQ63" t="s">
        <v>946</v>
      </c>
      <c r="AR63" t="s">
        <v>946</v>
      </c>
      <c r="AS63" t="s">
        <v>946</v>
      </c>
      <c r="AT63" t="s">
        <v>946</v>
      </c>
      <c r="AU63" t="s">
        <v>946</v>
      </c>
      <c r="AV63" t="s">
        <v>946</v>
      </c>
      <c r="AW63" t="s">
        <v>946</v>
      </c>
      <c r="AX63" t="s">
        <v>946</v>
      </c>
      <c r="AY63" t="s">
        <v>946</v>
      </c>
      <c r="AZ63" t="s">
        <v>946</v>
      </c>
      <c r="BA63" t="s">
        <v>946</v>
      </c>
      <c r="BB63" t="s">
        <v>946</v>
      </c>
      <c r="BC63" t="s">
        <v>946</v>
      </c>
      <c r="BD63" t="s">
        <v>946</v>
      </c>
      <c r="BE63" t="s">
        <v>946</v>
      </c>
      <c r="BF63" t="s">
        <v>946</v>
      </c>
      <c r="BG63" t="s">
        <v>946</v>
      </c>
      <c r="BH63" t="s">
        <v>946</v>
      </c>
      <c r="BI63" t="s">
        <v>946</v>
      </c>
      <c r="BJ63" t="s">
        <v>946</v>
      </c>
      <c r="BK63" t="s">
        <v>946</v>
      </c>
      <c r="BL63" t="s">
        <v>946</v>
      </c>
      <c r="BM63" t="s">
        <v>946</v>
      </c>
      <c r="BN63" t="s">
        <v>946</v>
      </c>
      <c r="BO63" t="s">
        <v>946</v>
      </c>
      <c r="BP63" t="s">
        <v>946</v>
      </c>
      <c r="BQ63" t="s">
        <v>946</v>
      </c>
      <c r="BR63" t="s">
        <v>946</v>
      </c>
      <c r="BS63" t="s">
        <v>946</v>
      </c>
      <c r="BT63" t="s">
        <v>946</v>
      </c>
      <c r="BU63" t="s">
        <v>946</v>
      </c>
      <c r="BV63" t="s">
        <v>946</v>
      </c>
      <c r="BW63" t="s">
        <v>946</v>
      </c>
      <c r="BX63" t="s">
        <v>946</v>
      </c>
      <c r="BY63" t="s">
        <v>946</v>
      </c>
      <c r="BZ63" t="s">
        <v>946</v>
      </c>
      <c r="CA63" t="s">
        <v>946</v>
      </c>
    </row>
    <row r="64" spans="1:79" x14ac:dyDescent="0.2">
      <c r="A64" t="s">
        <v>920</v>
      </c>
      <c r="B64" t="s">
        <v>946</v>
      </c>
      <c r="C64" t="s">
        <v>946</v>
      </c>
      <c r="D64" t="s">
        <v>946</v>
      </c>
      <c r="E64" t="s">
        <v>946</v>
      </c>
      <c r="F64" t="s">
        <v>920</v>
      </c>
      <c r="G64" t="s">
        <v>946</v>
      </c>
      <c r="H64" t="s">
        <v>946</v>
      </c>
      <c r="I64" t="s">
        <v>946</v>
      </c>
      <c r="J64" t="s">
        <v>946</v>
      </c>
      <c r="K64" t="s">
        <v>946</v>
      </c>
      <c r="L64" t="s">
        <v>946</v>
      </c>
      <c r="M64" t="s">
        <v>946</v>
      </c>
      <c r="N64" t="s">
        <v>946</v>
      </c>
      <c r="O64" t="s">
        <v>946</v>
      </c>
      <c r="P64" t="s">
        <v>946</v>
      </c>
      <c r="Q64" t="s">
        <v>946</v>
      </c>
      <c r="R64" t="s">
        <v>946</v>
      </c>
      <c r="S64" t="s">
        <v>946</v>
      </c>
      <c r="T64" t="s">
        <v>946</v>
      </c>
      <c r="U64" t="s">
        <v>946</v>
      </c>
      <c r="V64" t="s">
        <v>946</v>
      </c>
      <c r="W64" t="s">
        <v>946</v>
      </c>
      <c r="X64" t="s">
        <v>946</v>
      </c>
      <c r="Y64" t="s">
        <v>946</v>
      </c>
      <c r="Z64" t="s">
        <v>946</v>
      </c>
      <c r="AA64" t="s">
        <v>946</v>
      </c>
      <c r="AB64" t="s">
        <v>946</v>
      </c>
      <c r="AC64" t="s">
        <v>946</v>
      </c>
      <c r="AD64" t="s">
        <v>946</v>
      </c>
      <c r="AE64" t="s">
        <v>946</v>
      </c>
      <c r="AF64" t="s">
        <v>946</v>
      </c>
      <c r="AG64" t="s">
        <v>946</v>
      </c>
      <c r="AH64" t="s">
        <v>946</v>
      </c>
      <c r="AI64" t="s">
        <v>946</v>
      </c>
      <c r="AJ64" t="s">
        <v>946</v>
      </c>
      <c r="AK64" t="s">
        <v>946</v>
      </c>
      <c r="AL64" t="s">
        <v>946</v>
      </c>
      <c r="AM64" t="s">
        <v>946</v>
      </c>
      <c r="AN64" t="s">
        <v>946</v>
      </c>
      <c r="AO64" t="s">
        <v>946</v>
      </c>
      <c r="AP64" t="s">
        <v>946</v>
      </c>
      <c r="AQ64" t="s">
        <v>946</v>
      </c>
      <c r="AR64" t="s">
        <v>946</v>
      </c>
      <c r="AS64" t="s">
        <v>946</v>
      </c>
      <c r="AT64" t="s">
        <v>946</v>
      </c>
      <c r="AU64" t="s">
        <v>946</v>
      </c>
      <c r="AV64" t="s">
        <v>946</v>
      </c>
      <c r="AW64" t="s">
        <v>946</v>
      </c>
      <c r="AX64" t="s">
        <v>946</v>
      </c>
      <c r="AY64" t="s">
        <v>946</v>
      </c>
      <c r="AZ64" t="s">
        <v>946</v>
      </c>
      <c r="BA64" t="s">
        <v>920</v>
      </c>
      <c r="BB64" t="s">
        <v>946</v>
      </c>
      <c r="BC64" t="s">
        <v>946</v>
      </c>
      <c r="BD64" t="s">
        <v>946</v>
      </c>
      <c r="BE64" t="s">
        <v>946</v>
      </c>
      <c r="BF64" t="s">
        <v>946</v>
      </c>
      <c r="BG64" t="s">
        <v>946</v>
      </c>
      <c r="BH64" t="s">
        <v>946</v>
      </c>
      <c r="BI64" t="s">
        <v>946</v>
      </c>
      <c r="BJ64" t="s">
        <v>946</v>
      </c>
      <c r="BK64" t="s">
        <v>946</v>
      </c>
      <c r="BL64" t="s">
        <v>946</v>
      </c>
      <c r="BM64" t="s">
        <v>946</v>
      </c>
      <c r="BN64" t="s">
        <v>946</v>
      </c>
      <c r="BO64" t="s">
        <v>946</v>
      </c>
      <c r="BP64" t="s">
        <v>946</v>
      </c>
      <c r="BQ64" t="s">
        <v>946</v>
      </c>
      <c r="BR64" t="s">
        <v>946</v>
      </c>
      <c r="BS64" t="s">
        <v>946</v>
      </c>
      <c r="BT64" t="s">
        <v>946</v>
      </c>
      <c r="BU64" t="s">
        <v>946</v>
      </c>
      <c r="BV64" t="s">
        <v>946</v>
      </c>
      <c r="BW64" t="s">
        <v>946</v>
      </c>
      <c r="BX64" t="s">
        <v>946</v>
      </c>
      <c r="BY64" t="s">
        <v>946</v>
      </c>
      <c r="BZ64" t="s">
        <v>946</v>
      </c>
      <c r="CA64" t="s">
        <v>946</v>
      </c>
    </row>
    <row r="65" spans="1:79" x14ac:dyDescent="0.2">
      <c r="A65" t="s">
        <v>921</v>
      </c>
      <c r="B65" t="s">
        <v>946</v>
      </c>
      <c r="C65" t="s">
        <v>946</v>
      </c>
      <c r="D65" t="s">
        <v>946</v>
      </c>
      <c r="E65" t="s">
        <v>946</v>
      </c>
      <c r="F65" t="s">
        <v>921</v>
      </c>
      <c r="G65" t="s">
        <v>946</v>
      </c>
      <c r="H65" t="s">
        <v>946</v>
      </c>
      <c r="I65" t="s">
        <v>946</v>
      </c>
      <c r="J65" t="s">
        <v>946</v>
      </c>
      <c r="K65" t="s">
        <v>946</v>
      </c>
      <c r="L65" t="s">
        <v>946</v>
      </c>
      <c r="M65" t="s">
        <v>946</v>
      </c>
      <c r="N65" t="s">
        <v>946</v>
      </c>
      <c r="O65" t="s">
        <v>946</v>
      </c>
      <c r="P65" t="s">
        <v>946</v>
      </c>
      <c r="Q65" t="s">
        <v>946</v>
      </c>
      <c r="R65" t="s">
        <v>946</v>
      </c>
      <c r="S65" t="s">
        <v>946</v>
      </c>
      <c r="T65" t="s">
        <v>946</v>
      </c>
      <c r="U65" t="s">
        <v>946</v>
      </c>
      <c r="V65" t="s">
        <v>946</v>
      </c>
      <c r="W65" t="s">
        <v>946</v>
      </c>
      <c r="X65" t="s">
        <v>946</v>
      </c>
      <c r="Y65" t="s">
        <v>946</v>
      </c>
      <c r="Z65" t="s">
        <v>946</v>
      </c>
      <c r="AA65" t="s">
        <v>946</v>
      </c>
      <c r="AB65" t="s">
        <v>946</v>
      </c>
      <c r="AC65" t="s">
        <v>946</v>
      </c>
      <c r="AD65" t="s">
        <v>946</v>
      </c>
      <c r="AE65" t="s">
        <v>946</v>
      </c>
      <c r="AF65" t="s">
        <v>946</v>
      </c>
      <c r="AG65" t="s">
        <v>946</v>
      </c>
      <c r="AH65" t="s">
        <v>946</v>
      </c>
      <c r="AI65" t="s">
        <v>946</v>
      </c>
      <c r="AJ65" t="s">
        <v>946</v>
      </c>
      <c r="AK65" t="s">
        <v>946</v>
      </c>
      <c r="AL65" t="s">
        <v>946</v>
      </c>
      <c r="AM65" t="s">
        <v>946</v>
      </c>
      <c r="AN65" t="s">
        <v>946</v>
      </c>
      <c r="AO65" t="s">
        <v>946</v>
      </c>
      <c r="AP65" t="s">
        <v>946</v>
      </c>
      <c r="AQ65" t="s">
        <v>946</v>
      </c>
      <c r="AR65" t="s">
        <v>946</v>
      </c>
      <c r="AS65" t="s">
        <v>946</v>
      </c>
      <c r="AT65" t="s">
        <v>946</v>
      </c>
      <c r="AU65" t="s">
        <v>946</v>
      </c>
      <c r="AV65" t="s">
        <v>946</v>
      </c>
      <c r="AW65" t="s">
        <v>946</v>
      </c>
      <c r="AX65" t="s">
        <v>946</v>
      </c>
      <c r="AY65" t="s">
        <v>946</v>
      </c>
      <c r="AZ65" t="s">
        <v>946</v>
      </c>
      <c r="BA65" t="s">
        <v>946</v>
      </c>
      <c r="BB65" t="s">
        <v>946</v>
      </c>
      <c r="BC65" t="s">
        <v>946</v>
      </c>
      <c r="BD65" t="s">
        <v>946</v>
      </c>
      <c r="BE65" t="s">
        <v>946</v>
      </c>
      <c r="BF65" t="s">
        <v>946</v>
      </c>
      <c r="BG65" t="s">
        <v>946</v>
      </c>
      <c r="BH65" t="s">
        <v>946</v>
      </c>
      <c r="BI65" t="s">
        <v>946</v>
      </c>
      <c r="BJ65" t="s">
        <v>946</v>
      </c>
      <c r="BK65" t="s">
        <v>946</v>
      </c>
      <c r="BL65" t="s">
        <v>946</v>
      </c>
      <c r="BM65" t="s">
        <v>946</v>
      </c>
      <c r="BN65" t="s">
        <v>946</v>
      </c>
      <c r="BO65" t="s">
        <v>946</v>
      </c>
      <c r="BP65" t="s">
        <v>946</v>
      </c>
      <c r="BQ65" t="s">
        <v>946</v>
      </c>
      <c r="BR65" t="s">
        <v>946</v>
      </c>
      <c r="BS65" t="s">
        <v>946</v>
      </c>
      <c r="BT65" t="s">
        <v>946</v>
      </c>
      <c r="BU65" t="s">
        <v>946</v>
      </c>
      <c r="BV65" t="s">
        <v>946</v>
      </c>
      <c r="BW65" t="s">
        <v>946</v>
      </c>
      <c r="BX65" t="s">
        <v>946</v>
      </c>
      <c r="BY65" t="s">
        <v>946</v>
      </c>
      <c r="BZ65" t="s">
        <v>946</v>
      </c>
      <c r="CA65" t="s">
        <v>946</v>
      </c>
    </row>
    <row r="66" spans="1:79" x14ac:dyDescent="0.2">
      <c r="A66" t="s">
        <v>922</v>
      </c>
      <c r="B66" t="s">
        <v>946</v>
      </c>
      <c r="C66" t="s">
        <v>946</v>
      </c>
      <c r="D66" t="s">
        <v>946</v>
      </c>
      <c r="E66" t="s">
        <v>946</v>
      </c>
      <c r="F66" t="s">
        <v>922</v>
      </c>
      <c r="G66" t="s">
        <v>946</v>
      </c>
      <c r="H66" t="s">
        <v>946</v>
      </c>
      <c r="I66" t="s">
        <v>946</v>
      </c>
      <c r="J66" t="s">
        <v>946</v>
      </c>
      <c r="K66" t="s">
        <v>946</v>
      </c>
      <c r="L66" t="s">
        <v>946</v>
      </c>
      <c r="M66" t="s">
        <v>946</v>
      </c>
      <c r="N66" t="s">
        <v>946</v>
      </c>
      <c r="O66" t="s">
        <v>946</v>
      </c>
      <c r="P66" t="s">
        <v>946</v>
      </c>
      <c r="Q66" t="s">
        <v>946</v>
      </c>
      <c r="R66" t="s">
        <v>946</v>
      </c>
      <c r="S66" t="s">
        <v>946</v>
      </c>
      <c r="T66" t="s">
        <v>946</v>
      </c>
      <c r="U66" t="s">
        <v>946</v>
      </c>
      <c r="V66" t="s">
        <v>946</v>
      </c>
      <c r="W66" t="s">
        <v>946</v>
      </c>
      <c r="X66" t="s">
        <v>946</v>
      </c>
      <c r="Y66" t="s">
        <v>946</v>
      </c>
      <c r="Z66" t="s">
        <v>946</v>
      </c>
      <c r="AA66" t="s">
        <v>946</v>
      </c>
      <c r="AB66" t="s">
        <v>946</v>
      </c>
      <c r="AC66" t="s">
        <v>946</v>
      </c>
      <c r="AD66" t="s">
        <v>946</v>
      </c>
      <c r="AE66" t="s">
        <v>946</v>
      </c>
      <c r="AF66" t="s">
        <v>946</v>
      </c>
      <c r="AG66" t="s">
        <v>946</v>
      </c>
      <c r="AH66" t="s">
        <v>946</v>
      </c>
      <c r="AI66" t="s">
        <v>946</v>
      </c>
      <c r="AJ66" t="s">
        <v>946</v>
      </c>
      <c r="AK66" t="s">
        <v>946</v>
      </c>
      <c r="AL66" t="s">
        <v>946</v>
      </c>
      <c r="AM66" t="s">
        <v>946</v>
      </c>
      <c r="AN66" t="s">
        <v>946</v>
      </c>
      <c r="AO66" t="s">
        <v>946</v>
      </c>
      <c r="AP66" t="s">
        <v>946</v>
      </c>
      <c r="AQ66" t="s">
        <v>946</v>
      </c>
      <c r="AR66" t="s">
        <v>946</v>
      </c>
      <c r="AS66" t="s">
        <v>946</v>
      </c>
      <c r="AT66" t="s">
        <v>946</v>
      </c>
      <c r="AU66" t="s">
        <v>946</v>
      </c>
      <c r="AV66" t="s">
        <v>946</v>
      </c>
      <c r="AW66" t="s">
        <v>946</v>
      </c>
      <c r="AX66" t="s">
        <v>946</v>
      </c>
      <c r="AY66" t="s">
        <v>946</v>
      </c>
      <c r="AZ66" t="s">
        <v>946</v>
      </c>
      <c r="BA66" t="s">
        <v>946</v>
      </c>
      <c r="BB66" t="s">
        <v>946</v>
      </c>
      <c r="BC66" t="s">
        <v>946</v>
      </c>
      <c r="BD66" t="s">
        <v>946</v>
      </c>
      <c r="BE66" t="s">
        <v>946</v>
      </c>
      <c r="BF66" t="s">
        <v>946</v>
      </c>
      <c r="BG66" t="s">
        <v>946</v>
      </c>
      <c r="BH66" t="s">
        <v>946</v>
      </c>
      <c r="BI66" t="s">
        <v>946</v>
      </c>
      <c r="BJ66" t="s">
        <v>946</v>
      </c>
      <c r="BK66" t="s">
        <v>946</v>
      </c>
      <c r="BL66" t="s">
        <v>946</v>
      </c>
      <c r="BM66" t="s">
        <v>946</v>
      </c>
      <c r="BN66" t="s">
        <v>946</v>
      </c>
      <c r="BO66" t="s">
        <v>946</v>
      </c>
      <c r="BP66" t="s">
        <v>946</v>
      </c>
      <c r="BQ66" t="s">
        <v>946</v>
      </c>
      <c r="BR66" t="s">
        <v>946</v>
      </c>
      <c r="BS66" t="s">
        <v>946</v>
      </c>
      <c r="BT66" t="s">
        <v>946</v>
      </c>
      <c r="BU66" t="s">
        <v>946</v>
      </c>
      <c r="BV66" t="s">
        <v>946</v>
      </c>
      <c r="BW66" t="s">
        <v>946</v>
      </c>
      <c r="BX66" t="s">
        <v>946</v>
      </c>
      <c r="BY66" t="s">
        <v>946</v>
      </c>
      <c r="BZ66" t="s">
        <v>946</v>
      </c>
      <c r="CA66" t="s">
        <v>946</v>
      </c>
    </row>
    <row r="67" spans="1:79" x14ac:dyDescent="0.2">
      <c r="A67" t="s">
        <v>923</v>
      </c>
      <c r="B67" t="s">
        <v>946</v>
      </c>
      <c r="C67" t="s">
        <v>946</v>
      </c>
      <c r="D67" t="s">
        <v>946</v>
      </c>
      <c r="E67" t="s">
        <v>946</v>
      </c>
      <c r="F67" t="s">
        <v>946</v>
      </c>
      <c r="G67" t="s">
        <v>923</v>
      </c>
      <c r="H67" t="s">
        <v>946</v>
      </c>
      <c r="I67" t="s">
        <v>946</v>
      </c>
      <c r="J67" t="s">
        <v>946</v>
      </c>
      <c r="K67" t="s">
        <v>946</v>
      </c>
      <c r="L67" t="s">
        <v>946</v>
      </c>
      <c r="M67" t="s">
        <v>946</v>
      </c>
      <c r="N67" t="s">
        <v>946</v>
      </c>
      <c r="O67" t="s">
        <v>946</v>
      </c>
      <c r="P67" t="s">
        <v>946</v>
      </c>
      <c r="Q67" t="s">
        <v>946</v>
      </c>
      <c r="R67" t="s">
        <v>946</v>
      </c>
      <c r="S67" t="s">
        <v>946</v>
      </c>
      <c r="T67" t="s">
        <v>946</v>
      </c>
      <c r="U67" t="s">
        <v>946</v>
      </c>
      <c r="V67" t="s">
        <v>946</v>
      </c>
      <c r="W67" t="s">
        <v>946</v>
      </c>
      <c r="X67" t="s">
        <v>946</v>
      </c>
      <c r="Y67" t="s">
        <v>946</v>
      </c>
      <c r="Z67" t="s">
        <v>946</v>
      </c>
      <c r="AA67" t="s">
        <v>946</v>
      </c>
      <c r="AB67" t="s">
        <v>946</v>
      </c>
      <c r="AC67" t="s">
        <v>946</v>
      </c>
      <c r="AD67" t="s">
        <v>946</v>
      </c>
      <c r="AE67" t="s">
        <v>946</v>
      </c>
      <c r="AF67" t="s">
        <v>946</v>
      </c>
      <c r="AG67" t="s">
        <v>946</v>
      </c>
      <c r="AH67" t="s">
        <v>946</v>
      </c>
      <c r="AI67" t="s">
        <v>946</v>
      </c>
      <c r="AJ67" t="s">
        <v>946</v>
      </c>
      <c r="AK67" t="s">
        <v>946</v>
      </c>
      <c r="AL67" t="s">
        <v>946</v>
      </c>
      <c r="AM67" t="s">
        <v>946</v>
      </c>
      <c r="AN67" t="s">
        <v>946</v>
      </c>
      <c r="AO67" t="s">
        <v>946</v>
      </c>
      <c r="AP67" t="s">
        <v>946</v>
      </c>
      <c r="AQ67" t="s">
        <v>946</v>
      </c>
      <c r="AR67" t="s">
        <v>946</v>
      </c>
      <c r="AS67" t="s">
        <v>946</v>
      </c>
      <c r="AT67" t="s">
        <v>946</v>
      </c>
      <c r="AU67" t="s">
        <v>946</v>
      </c>
      <c r="AV67" t="s">
        <v>946</v>
      </c>
      <c r="AW67" t="s">
        <v>946</v>
      </c>
      <c r="AX67" t="s">
        <v>946</v>
      </c>
      <c r="AY67" t="s">
        <v>946</v>
      </c>
      <c r="AZ67" t="s">
        <v>946</v>
      </c>
      <c r="BA67" t="s">
        <v>946</v>
      </c>
      <c r="BB67" t="s">
        <v>946</v>
      </c>
      <c r="BC67" t="s">
        <v>946</v>
      </c>
      <c r="BD67" t="s">
        <v>946</v>
      </c>
      <c r="BE67" t="s">
        <v>946</v>
      </c>
      <c r="BF67" t="s">
        <v>946</v>
      </c>
      <c r="BG67" t="s">
        <v>946</v>
      </c>
      <c r="BH67" t="s">
        <v>946</v>
      </c>
      <c r="BI67" t="s">
        <v>946</v>
      </c>
      <c r="BJ67" t="s">
        <v>946</v>
      </c>
      <c r="BK67" t="s">
        <v>946</v>
      </c>
      <c r="BL67" t="s">
        <v>946</v>
      </c>
      <c r="BM67" t="s">
        <v>946</v>
      </c>
      <c r="BN67" t="s">
        <v>946</v>
      </c>
      <c r="BO67" t="s">
        <v>946</v>
      </c>
      <c r="BP67" t="s">
        <v>946</v>
      </c>
      <c r="BQ67" t="s">
        <v>946</v>
      </c>
      <c r="BR67" t="s">
        <v>946</v>
      </c>
      <c r="BS67" t="s">
        <v>946</v>
      </c>
      <c r="BT67" t="s">
        <v>946</v>
      </c>
      <c r="BU67" t="s">
        <v>946</v>
      </c>
      <c r="BV67" t="s">
        <v>946</v>
      </c>
      <c r="BW67" t="s">
        <v>946</v>
      </c>
      <c r="BX67" t="s">
        <v>946</v>
      </c>
      <c r="BY67" t="s">
        <v>946</v>
      </c>
      <c r="BZ67" t="s">
        <v>946</v>
      </c>
      <c r="CA67" t="s">
        <v>946</v>
      </c>
    </row>
    <row r="68" spans="1:79" x14ac:dyDescent="0.2">
      <c r="A68" t="s">
        <v>276</v>
      </c>
      <c r="B68" t="s">
        <v>946</v>
      </c>
      <c r="C68" t="s">
        <v>946</v>
      </c>
      <c r="D68" t="s">
        <v>946</v>
      </c>
      <c r="E68" t="s">
        <v>946</v>
      </c>
      <c r="F68" t="s">
        <v>946</v>
      </c>
      <c r="G68" t="s">
        <v>946</v>
      </c>
      <c r="H68" t="s">
        <v>946</v>
      </c>
      <c r="I68" t="s">
        <v>946</v>
      </c>
      <c r="J68" t="s">
        <v>946</v>
      </c>
      <c r="K68" t="s">
        <v>946</v>
      </c>
      <c r="L68" t="s">
        <v>946</v>
      </c>
      <c r="M68" t="s">
        <v>946</v>
      </c>
      <c r="N68" t="s">
        <v>946</v>
      </c>
      <c r="O68" t="s">
        <v>946</v>
      </c>
      <c r="P68" t="s">
        <v>946</v>
      </c>
      <c r="Q68" t="s">
        <v>946</v>
      </c>
      <c r="R68" t="s">
        <v>946</v>
      </c>
      <c r="S68" t="s">
        <v>946</v>
      </c>
      <c r="T68" t="s">
        <v>946</v>
      </c>
      <c r="U68" t="s">
        <v>946</v>
      </c>
      <c r="V68" t="s">
        <v>946</v>
      </c>
      <c r="W68" t="s">
        <v>946</v>
      </c>
      <c r="X68" t="s">
        <v>946</v>
      </c>
      <c r="Y68" t="s">
        <v>946</v>
      </c>
      <c r="Z68" t="s">
        <v>276</v>
      </c>
      <c r="AA68" t="s">
        <v>946</v>
      </c>
      <c r="AB68" t="s">
        <v>946</v>
      </c>
      <c r="AC68" t="s">
        <v>946</v>
      </c>
      <c r="AD68" t="s">
        <v>946</v>
      </c>
      <c r="AE68" t="s">
        <v>946</v>
      </c>
      <c r="AF68" t="s">
        <v>946</v>
      </c>
      <c r="AG68" t="s">
        <v>946</v>
      </c>
      <c r="AH68" t="s">
        <v>276</v>
      </c>
      <c r="AI68" t="s">
        <v>946</v>
      </c>
      <c r="AJ68" t="s">
        <v>946</v>
      </c>
      <c r="AK68" t="s">
        <v>946</v>
      </c>
      <c r="AL68" t="s">
        <v>946</v>
      </c>
      <c r="AM68" t="s">
        <v>946</v>
      </c>
      <c r="AN68" t="s">
        <v>946</v>
      </c>
      <c r="AO68" t="s">
        <v>946</v>
      </c>
      <c r="AP68" t="s">
        <v>946</v>
      </c>
      <c r="AQ68" t="s">
        <v>946</v>
      </c>
      <c r="AR68" t="s">
        <v>946</v>
      </c>
      <c r="AS68" t="s">
        <v>946</v>
      </c>
      <c r="AT68" t="s">
        <v>946</v>
      </c>
      <c r="AU68" t="s">
        <v>946</v>
      </c>
      <c r="AV68" t="s">
        <v>946</v>
      </c>
      <c r="AW68" t="s">
        <v>946</v>
      </c>
      <c r="AX68" t="s">
        <v>946</v>
      </c>
      <c r="AY68" t="s">
        <v>946</v>
      </c>
      <c r="AZ68" t="s">
        <v>946</v>
      </c>
      <c r="BA68" t="s">
        <v>946</v>
      </c>
      <c r="BB68" t="s">
        <v>946</v>
      </c>
      <c r="BC68" t="s">
        <v>946</v>
      </c>
      <c r="BD68" t="s">
        <v>946</v>
      </c>
      <c r="BE68" t="s">
        <v>946</v>
      </c>
      <c r="BF68" t="s">
        <v>946</v>
      </c>
      <c r="BG68" t="s">
        <v>946</v>
      </c>
      <c r="BH68" t="s">
        <v>946</v>
      </c>
      <c r="BI68" t="s">
        <v>946</v>
      </c>
      <c r="BJ68" t="s">
        <v>946</v>
      </c>
      <c r="BK68" t="s">
        <v>946</v>
      </c>
      <c r="BL68" t="s">
        <v>946</v>
      </c>
      <c r="BM68" t="s">
        <v>946</v>
      </c>
      <c r="BN68" t="s">
        <v>946</v>
      </c>
      <c r="BO68" t="s">
        <v>946</v>
      </c>
      <c r="BP68" t="s">
        <v>946</v>
      </c>
      <c r="BQ68" t="s">
        <v>946</v>
      </c>
      <c r="BR68" t="s">
        <v>946</v>
      </c>
      <c r="BS68" t="s">
        <v>946</v>
      </c>
      <c r="BT68" t="s">
        <v>946</v>
      </c>
      <c r="BU68" t="s">
        <v>946</v>
      </c>
      <c r="BV68" t="s">
        <v>946</v>
      </c>
      <c r="BW68" t="s">
        <v>946</v>
      </c>
      <c r="BX68" t="s">
        <v>946</v>
      </c>
      <c r="BY68" t="s">
        <v>946</v>
      </c>
      <c r="BZ68" t="s">
        <v>946</v>
      </c>
      <c r="CA68" t="s">
        <v>946</v>
      </c>
    </row>
    <row r="69" spans="1:79" x14ac:dyDescent="0.2">
      <c r="A69" t="s">
        <v>924</v>
      </c>
      <c r="B69" t="s">
        <v>946</v>
      </c>
      <c r="C69" t="s">
        <v>946</v>
      </c>
      <c r="D69" t="s">
        <v>946</v>
      </c>
      <c r="E69" t="s">
        <v>946</v>
      </c>
      <c r="F69" t="s">
        <v>946</v>
      </c>
      <c r="G69" t="s">
        <v>946</v>
      </c>
      <c r="H69" t="s">
        <v>946</v>
      </c>
      <c r="I69" t="s">
        <v>946</v>
      </c>
      <c r="J69" t="s">
        <v>946</v>
      </c>
      <c r="K69" t="s">
        <v>946</v>
      </c>
      <c r="L69" t="s">
        <v>946</v>
      </c>
      <c r="M69" t="s">
        <v>946</v>
      </c>
      <c r="N69" t="s">
        <v>946</v>
      </c>
      <c r="O69" t="s">
        <v>946</v>
      </c>
      <c r="P69" t="s">
        <v>946</v>
      </c>
      <c r="Q69" t="s">
        <v>946</v>
      </c>
      <c r="R69" t="s">
        <v>946</v>
      </c>
      <c r="S69" t="s">
        <v>946</v>
      </c>
      <c r="T69" t="s">
        <v>946</v>
      </c>
      <c r="U69" t="s">
        <v>946</v>
      </c>
      <c r="V69" t="s">
        <v>946</v>
      </c>
      <c r="W69" t="s">
        <v>946</v>
      </c>
      <c r="X69" t="s">
        <v>946</v>
      </c>
      <c r="Y69" t="s">
        <v>946</v>
      </c>
      <c r="Z69" t="s">
        <v>946</v>
      </c>
      <c r="AA69" t="s">
        <v>946</v>
      </c>
      <c r="AB69" t="s">
        <v>946</v>
      </c>
      <c r="AC69" t="s">
        <v>946</v>
      </c>
      <c r="AD69" t="s">
        <v>946</v>
      </c>
      <c r="AE69" t="s">
        <v>946</v>
      </c>
      <c r="AF69" t="s">
        <v>946</v>
      </c>
      <c r="AG69" t="s">
        <v>924</v>
      </c>
      <c r="AH69" t="s">
        <v>924</v>
      </c>
      <c r="AI69" t="s">
        <v>946</v>
      </c>
      <c r="AJ69" t="s">
        <v>946</v>
      </c>
      <c r="AK69" t="s">
        <v>946</v>
      </c>
      <c r="AL69" t="s">
        <v>946</v>
      </c>
      <c r="AM69" t="s">
        <v>946</v>
      </c>
      <c r="AN69" t="s">
        <v>946</v>
      </c>
      <c r="AO69" t="s">
        <v>946</v>
      </c>
      <c r="AP69" t="s">
        <v>946</v>
      </c>
      <c r="AQ69" t="s">
        <v>946</v>
      </c>
      <c r="AR69" t="s">
        <v>946</v>
      </c>
      <c r="AS69" t="s">
        <v>946</v>
      </c>
      <c r="AT69" t="s">
        <v>946</v>
      </c>
      <c r="AU69" t="s">
        <v>946</v>
      </c>
      <c r="AV69" t="s">
        <v>946</v>
      </c>
      <c r="AW69" t="s">
        <v>946</v>
      </c>
      <c r="AX69" t="s">
        <v>946</v>
      </c>
      <c r="AY69" t="s">
        <v>946</v>
      </c>
      <c r="AZ69" t="s">
        <v>946</v>
      </c>
      <c r="BA69" t="s">
        <v>946</v>
      </c>
      <c r="BB69" t="s">
        <v>946</v>
      </c>
      <c r="BC69" t="s">
        <v>946</v>
      </c>
      <c r="BD69" t="s">
        <v>946</v>
      </c>
      <c r="BE69" t="s">
        <v>946</v>
      </c>
      <c r="BF69" t="s">
        <v>946</v>
      </c>
      <c r="BG69" t="s">
        <v>946</v>
      </c>
      <c r="BH69" t="s">
        <v>946</v>
      </c>
      <c r="BI69" t="s">
        <v>946</v>
      </c>
      <c r="BJ69" t="s">
        <v>946</v>
      </c>
      <c r="BK69" t="s">
        <v>946</v>
      </c>
      <c r="BL69" t="s">
        <v>946</v>
      </c>
      <c r="BM69" t="s">
        <v>946</v>
      </c>
      <c r="BN69" t="s">
        <v>946</v>
      </c>
      <c r="BO69" t="s">
        <v>946</v>
      </c>
      <c r="BP69" t="s">
        <v>946</v>
      </c>
      <c r="BQ69" t="s">
        <v>946</v>
      </c>
      <c r="BR69" t="s">
        <v>946</v>
      </c>
      <c r="BS69" t="s">
        <v>946</v>
      </c>
      <c r="BT69" t="s">
        <v>946</v>
      </c>
      <c r="BU69" t="s">
        <v>946</v>
      </c>
      <c r="BV69" t="s">
        <v>946</v>
      </c>
      <c r="BW69" t="s">
        <v>946</v>
      </c>
      <c r="BX69" t="s">
        <v>946</v>
      </c>
      <c r="BY69" t="s">
        <v>946</v>
      </c>
      <c r="BZ69" t="s">
        <v>946</v>
      </c>
      <c r="CA69" t="s">
        <v>946</v>
      </c>
    </row>
    <row r="70" spans="1:79" x14ac:dyDescent="0.2">
      <c r="A70" t="s">
        <v>928</v>
      </c>
      <c r="B70" t="s">
        <v>946</v>
      </c>
      <c r="C70" t="s">
        <v>946</v>
      </c>
      <c r="D70" t="s">
        <v>946</v>
      </c>
      <c r="E70" t="s">
        <v>946</v>
      </c>
      <c r="F70" t="s">
        <v>946</v>
      </c>
      <c r="G70" t="s">
        <v>946</v>
      </c>
      <c r="H70" t="s">
        <v>946</v>
      </c>
      <c r="I70" t="s">
        <v>946</v>
      </c>
      <c r="J70" t="s">
        <v>946</v>
      </c>
      <c r="K70" t="s">
        <v>946</v>
      </c>
      <c r="L70" t="s">
        <v>946</v>
      </c>
      <c r="M70" t="s">
        <v>946</v>
      </c>
      <c r="N70" t="s">
        <v>946</v>
      </c>
      <c r="O70" t="s">
        <v>946</v>
      </c>
      <c r="P70" t="s">
        <v>946</v>
      </c>
      <c r="Q70" t="s">
        <v>946</v>
      </c>
      <c r="R70" t="s">
        <v>946</v>
      </c>
      <c r="S70" t="s">
        <v>946</v>
      </c>
      <c r="T70" t="s">
        <v>946</v>
      </c>
      <c r="U70" t="s">
        <v>946</v>
      </c>
      <c r="V70" t="s">
        <v>946</v>
      </c>
      <c r="W70" t="s">
        <v>946</v>
      </c>
      <c r="X70" t="s">
        <v>946</v>
      </c>
      <c r="Y70" t="s">
        <v>946</v>
      </c>
      <c r="Z70" t="s">
        <v>946</v>
      </c>
      <c r="AA70" t="s">
        <v>946</v>
      </c>
      <c r="AB70" t="s">
        <v>946</v>
      </c>
      <c r="AC70" t="s">
        <v>946</v>
      </c>
      <c r="AD70" t="s">
        <v>946</v>
      </c>
      <c r="AE70" t="s">
        <v>946</v>
      </c>
      <c r="AF70" t="s">
        <v>946</v>
      </c>
      <c r="AG70" t="s">
        <v>946</v>
      </c>
      <c r="AH70" t="s">
        <v>946</v>
      </c>
      <c r="AI70" t="s">
        <v>946</v>
      </c>
      <c r="AJ70" t="s">
        <v>946</v>
      </c>
      <c r="AK70" t="s">
        <v>946</v>
      </c>
      <c r="AL70" t="s">
        <v>946</v>
      </c>
      <c r="AM70" t="s">
        <v>946</v>
      </c>
      <c r="AN70" t="s">
        <v>946</v>
      </c>
      <c r="AO70" t="s">
        <v>946</v>
      </c>
      <c r="AP70" t="s">
        <v>946</v>
      </c>
      <c r="AQ70" t="s">
        <v>928</v>
      </c>
      <c r="AR70" t="s">
        <v>946</v>
      </c>
      <c r="AS70" t="s">
        <v>946</v>
      </c>
      <c r="AT70" t="s">
        <v>946</v>
      </c>
      <c r="AU70" t="s">
        <v>946</v>
      </c>
      <c r="AV70" t="s">
        <v>946</v>
      </c>
      <c r="AW70" t="s">
        <v>946</v>
      </c>
      <c r="AX70" t="s">
        <v>946</v>
      </c>
      <c r="AY70" t="s">
        <v>946</v>
      </c>
      <c r="AZ70" t="s">
        <v>946</v>
      </c>
      <c r="BA70" t="s">
        <v>946</v>
      </c>
      <c r="BB70" t="s">
        <v>946</v>
      </c>
      <c r="BC70" t="s">
        <v>946</v>
      </c>
      <c r="BD70" t="s">
        <v>946</v>
      </c>
      <c r="BE70" t="s">
        <v>946</v>
      </c>
      <c r="BF70" t="s">
        <v>946</v>
      </c>
      <c r="BG70" t="s">
        <v>946</v>
      </c>
      <c r="BH70" t="s">
        <v>946</v>
      </c>
      <c r="BI70" t="s">
        <v>946</v>
      </c>
      <c r="BJ70" t="s">
        <v>946</v>
      </c>
      <c r="BK70" t="s">
        <v>946</v>
      </c>
      <c r="BL70" t="s">
        <v>946</v>
      </c>
      <c r="BM70" t="s">
        <v>946</v>
      </c>
      <c r="BN70" t="s">
        <v>946</v>
      </c>
      <c r="BO70" t="s">
        <v>946</v>
      </c>
      <c r="BP70" t="s">
        <v>946</v>
      </c>
      <c r="BQ70" t="s">
        <v>946</v>
      </c>
      <c r="BR70" t="s">
        <v>946</v>
      </c>
      <c r="BS70" t="s">
        <v>946</v>
      </c>
      <c r="BT70" t="s">
        <v>946</v>
      </c>
      <c r="BU70" t="s">
        <v>946</v>
      </c>
      <c r="BV70" t="s">
        <v>946</v>
      </c>
      <c r="BW70" t="s">
        <v>946</v>
      </c>
      <c r="BX70" t="s">
        <v>946</v>
      </c>
      <c r="BY70" t="s">
        <v>946</v>
      </c>
      <c r="BZ70" t="s">
        <v>946</v>
      </c>
      <c r="CA70" t="s">
        <v>946</v>
      </c>
    </row>
    <row r="71" spans="1:79" x14ac:dyDescent="0.2">
      <c r="A71" t="s">
        <v>962</v>
      </c>
      <c r="BP71" t="s">
        <v>1058</v>
      </c>
    </row>
  </sheetData>
  <sheetProtection algorithmName="SHA-512" hashValue="8+4ruUFTCH/XnlPWo2rRF72nWcJV7nCKW9NhZ7JKIR49eFG5GN8Mqy8vexW2/tZl9ARb4/vOY6A21fScmDwuaw==" saltValue="p7XZJo0uq4X4I9FP6lI2eQ==" spinCount="100000" sheet="1" objects="1" scenarios="1"/>
  <pageMargins left="0.7" right="0.7" top="0.78740157499999996" bottom="0.78740157499999996" header="0.3" footer="0.3"/>
  <tableParts count="1">
    <tablePart r:id="rId1"/>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C4A44-F7DD-467A-88D1-F0F0EDE8ECC4}">
  <dimension ref="A1:CC155"/>
  <sheetViews>
    <sheetView workbookViewId="0">
      <selection activeCell="C102" sqref="C102"/>
    </sheetView>
  </sheetViews>
  <sheetFormatPr baseColWidth="10" defaultRowHeight="14.25" x14ac:dyDescent="0.2"/>
  <cols>
    <col min="1" max="3" width="49.5" customWidth="1"/>
    <col min="4" max="4" width="21.375" customWidth="1"/>
    <col min="5" max="5" width="16.75" customWidth="1"/>
    <col min="6" max="6" width="15.875" customWidth="1"/>
    <col min="8" max="8" width="17.25" customWidth="1"/>
    <col min="23" max="23" width="40.375" bestFit="1" customWidth="1"/>
    <col min="24" max="24" width="43.375" bestFit="1" customWidth="1"/>
    <col min="71" max="72" width="40.375" bestFit="1" customWidth="1"/>
    <col min="73" max="73" width="11.75" bestFit="1" customWidth="1"/>
    <col min="74" max="74" width="19.75" bestFit="1" customWidth="1"/>
    <col min="75" max="75" width="13.125" bestFit="1" customWidth="1"/>
    <col min="76" max="76" width="26.875" bestFit="1" customWidth="1"/>
    <col min="77" max="77" width="26" bestFit="1" customWidth="1"/>
    <col min="78" max="78" width="16.375" bestFit="1" customWidth="1"/>
    <col min="79" max="79" width="10.75" bestFit="1" customWidth="1"/>
  </cols>
  <sheetData>
    <row r="1" spans="1:81" x14ac:dyDescent="0.2">
      <c r="B1" t="s">
        <v>953</v>
      </c>
      <c r="C1" t="s">
        <v>1046</v>
      </c>
      <c r="D1" t="s">
        <v>364</v>
      </c>
      <c r="E1" t="s">
        <v>365</v>
      </c>
      <c r="F1" t="s">
        <v>447</v>
      </c>
      <c r="G1" t="s">
        <v>875</v>
      </c>
      <c r="H1" t="s">
        <v>442</v>
      </c>
      <c r="I1" t="s">
        <v>53</v>
      </c>
      <c r="J1" t="s">
        <v>55</v>
      </c>
      <c r="K1" t="s">
        <v>367</v>
      </c>
      <c r="L1" t="s">
        <v>56</v>
      </c>
      <c r="M1" t="s">
        <v>784</v>
      </c>
      <c r="N1" t="s">
        <v>789</v>
      </c>
      <c r="O1" t="s">
        <v>791</v>
      </c>
      <c r="P1" t="s">
        <v>793</v>
      </c>
      <c r="Q1" t="s">
        <v>872</v>
      </c>
      <c r="R1" t="s">
        <v>873</v>
      </c>
      <c r="S1" t="s">
        <v>428</v>
      </c>
      <c r="T1" t="s">
        <v>934</v>
      </c>
      <c r="U1" t="s">
        <v>521</v>
      </c>
      <c r="V1" t="s">
        <v>431</v>
      </c>
      <c r="W1" t="s">
        <v>734</v>
      </c>
      <c r="X1" t="s">
        <v>45</v>
      </c>
      <c r="Y1" t="s">
        <v>46</v>
      </c>
      <c r="Z1" t="s">
        <v>432</v>
      </c>
      <c r="AA1" t="s">
        <v>935</v>
      </c>
      <c r="AB1" t="s">
        <v>739</v>
      </c>
      <c r="AC1" t="s">
        <v>81</v>
      </c>
      <c r="AD1" t="s">
        <v>936</v>
      </c>
      <c r="AE1" t="s">
        <v>744</v>
      </c>
      <c r="AF1" t="s">
        <v>879</v>
      </c>
      <c r="AG1" t="s">
        <v>82</v>
      </c>
      <c r="AH1" t="s">
        <v>83</v>
      </c>
      <c r="AI1" t="s">
        <v>84</v>
      </c>
      <c r="AJ1" t="s">
        <v>361</v>
      </c>
      <c r="AK1" t="s">
        <v>85</v>
      </c>
      <c r="AL1" t="s">
        <v>86</v>
      </c>
      <c r="AM1" t="s">
        <v>435</v>
      </c>
      <c r="AN1" t="s">
        <v>51</v>
      </c>
      <c r="AO1" t="s">
        <v>57</v>
      </c>
      <c r="AP1" t="s">
        <v>937</v>
      </c>
      <c r="AQ1" t="s">
        <v>414</v>
      </c>
      <c r="AR1" t="s">
        <v>355</v>
      </c>
      <c r="AS1" t="s">
        <v>356</v>
      </c>
      <c r="AT1" t="s">
        <v>723</v>
      </c>
      <c r="AU1" t="s">
        <v>724</v>
      </c>
      <c r="AV1" t="s">
        <v>725</v>
      </c>
      <c r="AW1" t="s">
        <v>726</v>
      </c>
      <c r="AX1" t="s">
        <v>727</v>
      </c>
      <c r="AY1" t="s">
        <v>424</v>
      </c>
      <c r="AZ1" t="s">
        <v>729</v>
      </c>
      <c r="BA1" t="s">
        <v>425</v>
      </c>
      <c r="BB1" t="s">
        <v>706</v>
      </c>
      <c r="BC1" t="s">
        <v>506</v>
      </c>
      <c r="BD1" t="s">
        <v>511</v>
      </c>
      <c r="BE1" t="s">
        <v>709</v>
      </c>
      <c r="BF1" t="s">
        <v>349</v>
      </c>
      <c r="BG1" t="s">
        <v>507</v>
      </c>
      <c r="BH1" t="s">
        <v>350</v>
      </c>
      <c r="BI1" t="s">
        <v>508</v>
      </c>
      <c r="BJ1" t="s">
        <v>712</v>
      </c>
      <c r="BK1" t="s">
        <v>512</v>
      </c>
      <c r="BL1" t="s">
        <v>509</v>
      </c>
      <c r="BM1" t="s">
        <v>714</v>
      </c>
      <c r="BN1" t="s">
        <v>716</v>
      </c>
      <c r="BO1" t="s">
        <v>929</v>
      </c>
      <c r="BP1" t="s">
        <v>930</v>
      </c>
      <c r="BQ1" t="s">
        <v>931</v>
      </c>
      <c r="BR1" t="s">
        <v>932</v>
      </c>
      <c r="BS1" t="s">
        <v>500</v>
      </c>
      <c r="BT1" t="s">
        <v>502</v>
      </c>
      <c r="BU1" t="s">
        <v>963</v>
      </c>
      <c r="BV1" t="s">
        <v>964</v>
      </c>
      <c r="BW1" t="s">
        <v>965</v>
      </c>
      <c r="BX1" t="s">
        <v>966</v>
      </c>
      <c r="BY1" t="s">
        <v>967</v>
      </c>
      <c r="BZ1" t="s">
        <v>972</v>
      </c>
      <c r="CA1" t="s">
        <v>968</v>
      </c>
      <c r="CB1" t="s">
        <v>970</v>
      </c>
      <c r="CC1" t="s">
        <v>969</v>
      </c>
    </row>
    <row r="2" spans="1:81" x14ac:dyDescent="0.2">
      <c r="A2" t="str">
        <f>'Begr.-Rechner int. Prod.'!A4</f>
        <v xml:space="preserve">Abessinischer Senf </v>
      </c>
      <c r="B2">
        <f>'Begr.-Rechner int. Prod.'!C4</f>
        <v>15</v>
      </c>
      <c r="C2" t="s">
        <v>120</v>
      </c>
      <c r="D2" t="s">
        <v>10</v>
      </c>
      <c r="E2" t="s">
        <v>8</v>
      </c>
      <c r="F2" t="s">
        <v>23</v>
      </c>
      <c r="G2" t="s">
        <v>8</v>
      </c>
      <c r="H2" t="s">
        <v>899</v>
      </c>
      <c r="I2" t="s">
        <v>65</v>
      </c>
      <c r="J2" t="s">
        <v>906</v>
      </c>
      <c r="K2" t="s">
        <v>8</v>
      </c>
      <c r="L2" t="s">
        <v>899</v>
      </c>
      <c r="M2" t="s">
        <v>8</v>
      </c>
      <c r="N2" t="s">
        <v>8</v>
      </c>
      <c r="O2" t="s">
        <v>8</v>
      </c>
      <c r="P2" t="s">
        <v>899</v>
      </c>
      <c r="Q2" t="s">
        <v>403</v>
      </c>
      <c r="R2" t="s">
        <v>19</v>
      </c>
      <c r="S2" t="s">
        <v>8</v>
      </c>
      <c r="T2" t="s">
        <v>8</v>
      </c>
      <c r="U2" t="s">
        <v>23</v>
      </c>
      <c r="V2" t="s">
        <v>8</v>
      </c>
      <c r="W2" t="s">
        <v>8</v>
      </c>
      <c r="X2" t="s">
        <v>8</v>
      </c>
      <c r="Y2" t="s">
        <v>8</v>
      </c>
      <c r="Z2" t="s">
        <v>8</v>
      </c>
      <c r="AA2" t="s">
        <v>8</v>
      </c>
      <c r="AB2" t="s">
        <v>557</v>
      </c>
      <c r="AC2" t="s">
        <v>899</v>
      </c>
      <c r="AD2" t="s">
        <v>899</v>
      </c>
      <c r="AE2" t="s">
        <v>271</v>
      </c>
      <c r="AF2" t="s">
        <v>271</v>
      </c>
      <c r="AG2" t="s">
        <v>67</v>
      </c>
      <c r="AH2" t="s">
        <v>67</v>
      </c>
      <c r="AI2" t="s">
        <v>899</v>
      </c>
      <c r="AJ2" t="s">
        <v>8</v>
      </c>
      <c r="AK2" t="s">
        <v>8</v>
      </c>
      <c r="AL2" t="s">
        <v>394</v>
      </c>
      <c r="AM2" t="s">
        <v>8</v>
      </c>
      <c r="AN2" t="s">
        <v>8</v>
      </c>
      <c r="AO2" t="s">
        <v>65</v>
      </c>
      <c r="AP2" t="s">
        <v>65</v>
      </c>
      <c r="AQ2" t="s">
        <v>11</v>
      </c>
      <c r="AR2" t="s">
        <v>899</v>
      </c>
      <c r="AS2" t="s">
        <v>8</v>
      </c>
      <c r="AT2" t="s">
        <v>899</v>
      </c>
      <c r="AU2" t="s">
        <v>8</v>
      </c>
      <c r="AV2" t="s">
        <v>8</v>
      </c>
      <c r="AW2" t="s">
        <v>899</v>
      </c>
      <c r="AX2" t="s">
        <v>8</v>
      </c>
      <c r="AY2" t="s">
        <v>899</v>
      </c>
      <c r="AZ2" t="s">
        <v>8</v>
      </c>
      <c r="BA2" t="s">
        <v>8</v>
      </c>
      <c r="BB2" t="s">
        <v>63</v>
      </c>
      <c r="BC2" t="s">
        <v>63</v>
      </c>
      <c r="BD2" t="s">
        <v>70</v>
      </c>
      <c r="BE2" t="s">
        <v>899</v>
      </c>
      <c r="BF2" t="s">
        <v>63</v>
      </c>
      <c r="BG2" t="s">
        <v>63</v>
      </c>
      <c r="BH2" t="s">
        <v>63</v>
      </c>
      <c r="BI2" t="s">
        <v>8</v>
      </c>
      <c r="BJ2" t="s">
        <v>8</v>
      </c>
      <c r="BK2" t="s">
        <v>8</v>
      </c>
      <c r="BL2" t="s">
        <v>8</v>
      </c>
      <c r="BM2" t="s">
        <v>8</v>
      </c>
      <c r="BN2" t="s">
        <v>65</v>
      </c>
      <c r="BO2" t="s">
        <v>899</v>
      </c>
      <c r="BP2" t="s">
        <v>557</v>
      </c>
      <c r="BQ2" t="s">
        <v>8</v>
      </c>
      <c r="BR2" t="s">
        <v>8</v>
      </c>
      <c r="BS2" t="s">
        <v>899</v>
      </c>
      <c r="BT2" t="s">
        <v>899</v>
      </c>
      <c r="BU2" t="s">
        <v>8</v>
      </c>
      <c r="BV2" t="s">
        <v>8</v>
      </c>
      <c r="BW2" t="s">
        <v>8</v>
      </c>
      <c r="BX2" t="s">
        <v>8</v>
      </c>
      <c r="BY2" t="s">
        <v>63</v>
      </c>
      <c r="BZ2" t="s">
        <v>16</v>
      </c>
      <c r="CA2" t="s">
        <v>8</v>
      </c>
      <c r="CB2" t="s">
        <v>899</v>
      </c>
      <c r="CC2" t="s">
        <v>16</v>
      </c>
    </row>
    <row r="3" spans="1:81" x14ac:dyDescent="0.2">
      <c r="A3" t="str">
        <f>'Begr.-Rechner int. Prod.'!A5</f>
        <v>Ackerbohne</v>
      </c>
      <c r="B3">
        <f>'Begr.-Rechner int. Prod.'!C5</f>
        <v>60</v>
      </c>
      <c r="C3" t="s">
        <v>317</v>
      </c>
      <c r="D3" t="s">
        <v>67</v>
      </c>
      <c r="E3" t="s">
        <v>23</v>
      </c>
      <c r="F3" t="s">
        <v>902</v>
      </c>
      <c r="G3" t="s">
        <v>65</v>
      </c>
      <c r="H3" t="s">
        <v>67</v>
      </c>
      <c r="I3" t="s">
        <v>16</v>
      </c>
      <c r="J3" t="s">
        <v>13</v>
      </c>
      <c r="K3" t="s">
        <v>13</v>
      </c>
      <c r="L3" t="s">
        <v>24</v>
      </c>
      <c r="M3" t="s">
        <v>16</v>
      </c>
      <c r="N3" t="s">
        <v>609</v>
      </c>
      <c r="O3" t="s">
        <v>609</v>
      </c>
      <c r="P3" t="s">
        <v>24</v>
      </c>
      <c r="Q3" t="s">
        <v>39</v>
      </c>
      <c r="R3" t="s">
        <v>902</v>
      </c>
      <c r="S3" t="s">
        <v>902</v>
      </c>
      <c r="T3" t="s">
        <v>10</v>
      </c>
      <c r="U3" t="s">
        <v>24</v>
      </c>
      <c r="V3" t="s">
        <v>899</v>
      </c>
      <c r="W3" t="s">
        <v>399</v>
      </c>
      <c r="X3" t="s">
        <v>899</v>
      </c>
      <c r="Y3" t="s">
        <v>899</v>
      </c>
      <c r="Z3" t="s">
        <v>399</v>
      </c>
      <c r="AA3" t="s">
        <v>399</v>
      </c>
      <c r="AB3" t="s">
        <v>93</v>
      </c>
      <c r="AC3" t="s">
        <v>16</v>
      </c>
      <c r="AD3" t="s">
        <v>16</v>
      </c>
      <c r="AE3" t="s">
        <v>13</v>
      </c>
      <c r="AF3" t="s">
        <v>13</v>
      </c>
      <c r="AG3" t="s">
        <v>16</v>
      </c>
      <c r="AH3" t="s">
        <v>71</v>
      </c>
      <c r="AI3" t="s">
        <v>68</v>
      </c>
      <c r="AJ3" t="s">
        <v>899</v>
      </c>
      <c r="AK3" t="s">
        <v>16</v>
      </c>
      <c r="AL3" t="s">
        <v>397</v>
      </c>
      <c r="AM3" t="s">
        <v>902</v>
      </c>
      <c r="AN3" t="s">
        <v>65</v>
      </c>
      <c r="AO3" t="s">
        <v>16</v>
      </c>
      <c r="AP3" t="s">
        <v>16</v>
      </c>
      <c r="AQ3" t="s">
        <v>397</v>
      </c>
      <c r="AR3" t="s">
        <v>399</v>
      </c>
      <c r="AS3" t="s">
        <v>93</v>
      </c>
      <c r="AT3" t="s">
        <v>16</v>
      </c>
      <c r="AU3" t="s">
        <v>899</v>
      </c>
      <c r="AV3" t="s">
        <v>902</v>
      </c>
      <c r="AW3" t="s">
        <v>399</v>
      </c>
      <c r="AX3" t="s">
        <v>16</v>
      </c>
      <c r="AY3" t="s">
        <v>399</v>
      </c>
      <c r="AZ3" t="s">
        <v>16</v>
      </c>
      <c r="BA3" t="s">
        <v>16</v>
      </c>
      <c r="BB3" t="s">
        <v>8</v>
      </c>
      <c r="BC3" t="s">
        <v>15</v>
      </c>
      <c r="BD3" t="s">
        <v>902</v>
      </c>
      <c r="BE3" t="s">
        <v>19</v>
      </c>
      <c r="BF3" t="s">
        <v>8</v>
      </c>
      <c r="BG3" t="s">
        <v>8</v>
      </c>
      <c r="BH3" t="s">
        <v>8</v>
      </c>
      <c r="BI3" t="s">
        <v>906</v>
      </c>
      <c r="BJ3" t="s">
        <v>13</v>
      </c>
      <c r="BK3" t="s">
        <v>906</v>
      </c>
      <c r="BL3" t="s">
        <v>13</v>
      </c>
      <c r="BM3" t="s">
        <v>906</v>
      </c>
      <c r="BN3" t="s">
        <v>16</v>
      </c>
      <c r="BO3" t="s">
        <v>19</v>
      </c>
      <c r="BP3" t="s">
        <v>26</v>
      </c>
      <c r="BQ3" t="s">
        <v>906</v>
      </c>
      <c r="BR3" t="s">
        <v>906</v>
      </c>
      <c r="BS3" t="s">
        <v>399</v>
      </c>
      <c r="BT3" t="s">
        <v>399</v>
      </c>
      <c r="BU3" t="s">
        <v>399</v>
      </c>
      <c r="BV3" t="s">
        <v>16</v>
      </c>
      <c r="BW3" t="s">
        <v>899</v>
      </c>
      <c r="BX3" t="s">
        <v>899</v>
      </c>
      <c r="BY3" t="s">
        <v>8</v>
      </c>
      <c r="BZ3" t="s">
        <v>902</v>
      </c>
      <c r="CA3" t="s">
        <v>902</v>
      </c>
      <c r="CB3" t="s">
        <v>399</v>
      </c>
      <c r="CC3" t="s">
        <v>23</v>
      </c>
    </row>
    <row r="4" spans="1:81" x14ac:dyDescent="0.2">
      <c r="A4" t="str">
        <f>'Begr.-Rechner int. Prod.'!A6</f>
        <v>Alexandrinerklee</v>
      </c>
      <c r="B4">
        <f>'Begr.-Rechner int. Prod.'!C6</f>
        <v>25</v>
      </c>
      <c r="C4" t="s">
        <v>317</v>
      </c>
      <c r="D4" t="s">
        <v>14</v>
      </c>
      <c r="E4" t="s">
        <v>902</v>
      </c>
      <c r="F4" t="s">
        <v>557</v>
      </c>
      <c r="G4" t="s">
        <v>11</v>
      </c>
      <c r="H4" t="s">
        <v>14</v>
      </c>
      <c r="I4" t="s">
        <v>42</v>
      </c>
      <c r="J4" t="s">
        <v>549</v>
      </c>
      <c r="K4" t="s">
        <v>23</v>
      </c>
      <c r="L4" t="s">
        <v>1078</v>
      </c>
      <c r="M4" t="s">
        <v>473</v>
      </c>
      <c r="N4" t="s">
        <v>24</v>
      </c>
      <c r="O4" t="s">
        <v>902</v>
      </c>
      <c r="P4" t="s">
        <v>26</v>
      </c>
      <c r="Q4" t="s">
        <v>903</v>
      </c>
      <c r="R4" t="s">
        <v>557</v>
      </c>
      <c r="S4" t="s">
        <v>26</v>
      </c>
      <c r="T4" t="s">
        <v>26</v>
      </c>
      <c r="U4" t="s">
        <v>555</v>
      </c>
      <c r="V4" t="s">
        <v>399</v>
      </c>
      <c r="W4" t="s">
        <v>19</v>
      </c>
      <c r="X4" t="s">
        <v>24</v>
      </c>
      <c r="Y4" t="s">
        <v>1078</v>
      </c>
      <c r="Z4" t="s">
        <v>19</v>
      </c>
      <c r="AA4" t="s">
        <v>19</v>
      </c>
      <c r="AB4" t="s">
        <v>26</v>
      </c>
      <c r="AC4" t="s">
        <v>24</v>
      </c>
      <c r="AD4" t="s">
        <v>24</v>
      </c>
      <c r="AE4" t="s">
        <v>549</v>
      </c>
      <c r="AF4" t="s">
        <v>74</v>
      </c>
      <c r="AG4" t="s">
        <v>19</v>
      </c>
      <c r="AH4" t="s">
        <v>16</v>
      </c>
      <c r="AI4" t="s">
        <v>71</v>
      </c>
      <c r="AJ4" t="s">
        <v>68</v>
      </c>
      <c r="AK4" t="s">
        <v>25</v>
      </c>
      <c r="AL4" t="s">
        <v>39</v>
      </c>
      <c r="AM4" t="s">
        <v>557</v>
      </c>
      <c r="AN4" t="s">
        <v>11</v>
      </c>
      <c r="AO4" t="s">
        <v>397</v>
      </c>
      <c r="AP4" t="s">
        <v>397</v>
      </c>
      <c r="AQ4" t="s">
        <v>39</v>
      </c>
      <c r="AR4" t="s">
        <v>902</v>
      </c>
      <c r="AS4" t="s">
        <v>25</v>
      </c>
      <c r="AT4" t="s">
        <v>399</v>
      </c>
      <c r="AU4" t="s">
        <v>399</v>
      </c>
      <c r="AV4" t="s">
        <v>93</v>
      </c>
      <c r="AW4" t="s">
        <v>19</v>
      </c>
      <c r="AX4" t="s">
        <v>902</v>
      </c>
      <c r="AY4" t="s">
        <v>23</v>
      </c>
      <c r="AZ4" t="s">
        <v>399</v>
      </c>
      <c r="BA4" t="s">
        <v>902</v>
      </c>
      <c r="BB4" t="s">
        <v>13</v>
      </c>
      <c r="BC4" t="s">
        <v>16</v>
      </c>
      <c r="BD4" t="s">
        <v>557</v>
      </c>
      <c r="BE4" t="s">
        <v>23</v>
      </c>
      <c r="BF4" t="s">
        <v>13</v>
      </c>
      <c r="BG4" t="s">
        <v>13</v>
      </c>
      <c r="BH4" t="s">
        <v>13</v>
      </c>
      <c r="BI4" t="s">
        <v>13</v>
      </c>
      <c r="BJ4" t="s">
        <v>902</v>
      </c>
      <c r="BK4" t="s">
        <v>13</v>
      </c>
      <c r="BL4" t="s">
        <v>902</v>
      </c>
      <c r="BM4" t="s">
        <v>13</v>
      </c>
      <c r="BN4" t="s">
        <v>397</v>
      </c>
      <c r="BO4" t="s">
        <v>557</v>
      </c>
      <c r="BP4" t="s">
        <v>555</v>
      </c>
      <c r="BQ4" t="s">
        <v>13</v>
      </c>
      <c r="BR4" t="s">
        <v>13</v>
      </c>
      <c r="BS4" t="s">
        <v>902</v>
      </c>
      <c r="BT4" t="s">
        <v>473</v>
      </c>
      <c r="BU4" t="s">
        <v>23</v>
      </c>
      <c r="BV4" t="s">
        <v>399</v>
      </c>
      <c r="BW4" t="s">
        <v>902</v>
      </c>
      <c r="BX4" t="s">
        <v>399</v>
      </c>
      <c r="BY4" t="s">
        <v>23</v>
      </c>
      <c r="BZ4" t="s">
        <v>557</v>
      </c>
      <c r="CA4" t="s">
        <v>35</v>
      </c>
      <c r="CB4" t="s">
        <v>37</v>
      </c>
      <c r="CC4" t="s">
        <v>24</v>
      </c>
    </row>
    <row r="5" spans="1:81" x14ac:dyDescent="0.2">
      <c r="A5" t="str">
        <f>'Begr.-Rechner int. Prod.'!A7</f>
        <v>Bastardraygras</v>
      </c>
      <c r="B5">
        <f>'Begr.-Rechner int. Prod.'!C7</f>
        <v>25</v>
      </c>
      <c r="C5" t="s">
        <v>162</v>
      </c>
      <c r="D5" t="s">
        <v>71</v>
      </c>
      <c r="E5" t="s">
        <v>557</v>
      </c>
      <c r="F5" t="s">
        <v>26</v>
      </c>
      <c r="G5" t="s">
        <v>16</v>
      </c>
      <c r="H5" t="s">
        <v>70</v>
      </c>
      <c r="I5" t="s">
        <v>913</v>
      </c>
      <c r="J5" t="s">
        <v>217</v>
      </c>
      <c r="K5" t="s">
        <v>902</v>
      </c>
      <c r="M5" t="s">
        <v>902</v>
      </c>
      <c r="N5" t="s">
        <v>26</v>
      </c>
      <c r="P5" t="s">
        <v>35</v>
      </c>
      <c r="Q5" t="s">
        <v>919</v>
      </c>
      <c r="R5" t="s">
        <v>25</v>
      </c>
      <c r="U5" t="s">
        <v>33</v>
      </c>
      <c r="V5" t="s">
        <v>902</v>
      </c>
      <c r="W5" t="s">
        <v>902</v>
      </c>
      <c r="Z5" t="s">
        <v>24</v>
      </c>
      <c r="AA5" t="s">
        <v>24</v>
      </c>
      <c r="AB5" t="s">
        <v>555</v>
      </c>
      <c r="AC5" t="s">
        <v>26</v>
      </c>
      <c r="AD5" t="s">
        <v>26</v>
      </c>
      <c r="AE5" t="s">
        <v>555</v>
      </c>
      <c r="AF5" t="s">
        <v>549</v>
      </c>
      <c r="AG5" t="s">
        <v>21</v>
      </c>
      <c r="AH5" t="s">
        <v>915</v>
      </c>
      <c r="AI5" t="s">
        <v>16</v>
      </c>
      <c r="AJ5" t="s">
        <v>16</v>
      </c>
      <c r="AK5" t="s">
        <v>39</v>
      </c>
      <c r="AM5" t="s">
        <v>25</v>
      </c>
      <c r="AN5" t="s">
        <v>25</v>
      </c>
      <c r="AO5" t="s">
        <v>42</v>
      </c>
      <c r="AP5" t="s">
        <v>42</v>
      </c>
      <c r="AR5" t="s">
        <v>24</v>
      </c>
      <c r="AS5" t="s">
        <v>30</v>
      </c>
      <c r="AT5" t="s">
        <v>23</v>
      </c>
      <c r="AU5" t="s">
        <v>902</v>
      </c>
      <c r="AV5" t="s">
        <v>26</v>
      </c>
      <c r="AW5" t="s">
        <v>24</v>
      </c>
      <c r="AX5" t="s">
        <v>24</v>
      </c>
      <c r="AY5" t="s">
        <v>902</v>
      </c>
      <c r="AZ5" t="s">
        <v>609</v>
      </c>
      <c r="BA5" t="s">
        <v>557</v>
      </c>
      <c r="BB5" t="s">
        <v>70</v>
      </c>
      <c r="BC5" t="s">
        <v>19</v>
      </c>
      <c r="BD5" t="s">
        <v>26</v>
      </c>
      <c r="BE5" t="s">
        <v>902</v>
      </c>
      <c r="BF5" t="s">
        <v>70</v>
      </c>
      <c r="BG5" t="s">
        <v>16</v>
      </c>
      <c r="BH5" t="s">
        <v>23</v>
      </c>
      <c r="BI5" t="s">
        <v>902</v>
      </c>
      <c r="BJ5" t="s">
        <v>557</v>
      </c>
      <c r="BK5" t="s">
        <v>902</v>
      </c>
      <c r="BL5" t="s">
        <v>557</v>
      </c>
      <c r="BM5" t="s">
        <v>902</v>
      </c>
      <c r="BN5" t="s">
        <v>31</v>
      </c>
      <c r="BO5" t="s">
        <v>24</v>
      </c>
      <c r="BP5" t="s">
        <v>217</v>
      </c>
      <c r="BQ5" t="s">
        <v>26</v>
      </c>
      <c r="BR5" t="s">
        <v>557</v>
      </c>
      <c r="BS5" t="s">
        <v>24</v>
      </c>
      <c r="BT5" t="s">
        <v>902</v>
      </c>
      <c r="BU5" t="s">
        <v>902</v>
      </c>
      <c r="BV5" t="s">
        <v>556</v>
      </c>
      <c r="BW5" t="s">
        <v>26</v>
      </c>
      <c r="BX5" t="s">
        <v>23</v>
      </c>
      <c r="BY5" t="s">
        <v>25</v>
      </c>
      <c r="BZ5" t="s">
        <v>26</v>
      </c>
      <c r="CC5" t="s">
        <v>26</v>
      </c>
    </row>
    <row r="6" spans="1:81" x14ac:dyDescent="0.2">
      <c r="A6" t="str">
        <f>'Begr.-Rechner int. Prod.'!A8</f>
        <v>Lupine</v>
      </c>
      <c r="B6">
        <f>'Begr.-Rechner int. Prod.'!C8</f>
        <v>170</v>
      </c>
      <c r="C6" t="s">
        <v>317</v>
      </c>
      <c r="D6" t="s">
        <v>16</v>
      </c>
      <c r="E6" t="s">
        <v>549</v>
      </c>
      <c r="F6" t="s">
        <v>94</v>
      </c>
      <c r="G6" t="s">
        <v>397</v>
      </c>
      <c r="H6" t="s">
        <v>16</v>
      </c>
      <c r="I6" t="s">
        <v>923</v>
      </c>
      <c r="J6" t="s">
        <v>38</v>
      </c>
      <c r="K6" t="s">
        <v>28</v>
      </c>
      <c r="M6" t="s">
        <v>557</v>
      </c>
      <c r="R6" t="s">
        <v>26</v>
      </c>
      <c r="V6" t="s">
        <v>26</v>
      </c>
      <c r="W6" t="s">
        <v>557</v>
      </c>
      <c r="Z6" t="s">
        <v>26</v>
      </c>
      <c r="AA6" t="s">
        <v>26</v>
      </c>
      <c r="AB6" t="s">
        <v>276</v>
      </c>
      <c r="AC6" t="s">
        <v>39</v>
      </c>
      <c r="AD6" t="s">
        <v>39</v>
      </c>
      <c r="AE6" t="s">
        <v>912</v>
      </c>
      <c r="AF6" t="s">
        <v>555</v>
      </c>
      <c r="AG6" t="s">
        <v>26</v>
      </c>
      <c r="AH6" t="s">
        <v>19</v>
      </c>
      <c r="AI6" t="s">
        <v>399</v>
      </c>
      <c r="AJ6" t="s">
        <v>915</v>
      </c>
      <c r="AM6" t="s">
        <v>549</v>
      </c>
      <c r="AR6" t="s">
        <v>26</v>
      </c>
      <c r="AS6" t="s">
        <v>555</v>
      </c>
      <c r="AT6" t="s">
        <v>24</v>
      </c>
      <c r="AU6" t="s">
        <v>26</v>
      </c>
      <c r="AV6" t="s">
        <v>1078</v>
      </c>
      <c r="AW6" t="s">
        <v>26</v>
      </c>
      <c r="AX6" t="s">
        <v>26</v>
      </c>
      <c r="AY6" t="s">
        <v>24</v>
      </c>
      <c r="AZ6" t="s">
        <v>902</v>
      </c>
      <c r="BB6" t="s">
        <v>902</v>
      </c>
      <c r="BC6" t="s">
        <v>23</v>
      </c>
      <c r="BD6" t="s">
        <v>555</v>
      </c>
      <c r="BE6" t="s">
        <v>557</v>
      </c>
      <c r="BF6" t="s">
        <v>19</v>
      </c>
      <c r="BG6" t="s">
        <v>23</v>
      </c>
      <c r="BH6" t="s">
        <v>902</v>
      </c>
      <c r="BI6" t="s">
        <v>557</v>
      </c>
      <c r="BJ6" t="s">
        <v>25</v>
      </c>
      <c r="BK6" t="s">
        <v>557</v>
      </c>
      <c r="BL6" t="s">
        <v>26</v>
      </c>
      <c r="BM6" t="s">
        <v>24</v>
      </c>
      <c r="BN6" t="s">
        <v>34</v>
      </c>
      <c r="BO6" t="s">
        <v>26</v>
      </c>
      <c r="BP6" t="s">
        <v>38</v>
      </c>
      <c r="BQ6" t="s">
        <v>549</v>
      </c>
      <c r="BR6" t="s">
        <v>24</v>
      </c>
      <c r="BS6" t="s">
        <v>26</v>
      </c>
      <c r="BT6" t="s">
        <v>24</v>
      </c>
      <c r="BU6" t="s">
        <v>26</v>
      </c>
      <c r="BW6" t="s">
        <v>549</v>
      </c>
      <c r="BX6" t="s">
        <v>24</v>
      </c>
      <c r="BZ6" t="s">
        <v>403</v>
      </c>
      <c r="CC6" t="s">
        <v>549</v>
      </c>
    </row>
    <row r="7" spans="1:81" x14ac:dyDescent="0.2">
      <c r="A7" t="str">
        <f>'Begr.-Rechner int. Prod.'!A10</f>
        <v>Buchweizen</v>
      </c>
      <c r="B7">
        <f>'Begr.-Rechner int. Prod.'!C10</f>
        <v>70</v>
      </c>
      <c r="C7" t="s">
        <v>318</v>
      </c>
      <c r="D7" t="s">
        <v>19</v>
      </c>
      <c r="E7" t="s">
        <v>94</v>
      </c>
      <c r="F7" t="s">
        <v>38</v>
      </c>
      <c r="H7" t="s">
        <v>915</v>
      </c>
      <c r="K7" t="s">
        <v>549</v>
      </c>
      <c r="M7" t="s">
        <v>25</v>
      </c>
      <c r="R7" t="s">
        <v>38</v>
      </c>
      <c r="W7" t="s">
        <v>24</v>
      </c>
      <c r="Z7" t="s">
        <v>549</v>
      </c>
      <c r="AA7" t="s">
        <v>549</v>
      </c>
      <c r="AC7" t="s">
        <v>42</v>
      </c>
      <c r="AD7" t="s">
        <v>42</v>
      </c>
      <c r="AE7" t="s">
        <v>913</v>
      </c>
      <c r="AF7" t="s">
        <v>912</v>
      </c>
      <c r="AG7" t="s">
        <v>31</v>
      </c>
      <c r="AH7" t="s">
        <v>21</v>
      </c>
      <c r="AI7" t="s">
        <v>915</v>
      </c>
      <c r="AJ7" t="s">
        <v>19</v>
      </c>
      <c r="AR7" t="s">
        <v>555</v>
      </c>
      <c r="AS7" t="s">
        <v>1078</v>
      </c>
      <c r="AT7" t="s">
        <v>26</v>
      </c>
      <c r="AU7" t="s">
        <v>35</v>
      </c>
      <c r="AY7" t="s">
        <v>26</v>
      </c>
      <c r="AZ7" t="s">
        <v>24</v>
      </c>
      <c r="BB7" t="s">
        <v>557</v>
      </c>
      <c r="BC7" t="s">
        <v>557</v>
      </c>
      <c r="BD7" t="s">
        <v>217</v>
      </c>
      <c r="BE7" t="s">
        <v>26</v>
      </c>
      <c r="BF7" t="s">
        <v>23</v>
      </c>
      <c r="BG7" t="s">
        <v>902</v>
      </c>
      <c r="BH7" t="s">
        <v>557</v>
      </c>
      <c r="BI7" t="s">
        <v>26</v>
      </c>
      <c r="BJ7" t="s">
        <v>549</v>
      </c>
      <c r="BK7" t="s">
        <v>25</v>
      </c>
      <c r="BL7" t="s">
        <v>549</v>
      </c>
      <c r="BM7" t="s">
        <v>25</v>
      </c>
      <c r="BN7" t="s">
        <v>42</v>
      </c>
      <c r="BO7" t="s">
        <v>555</v>
      </c>
      <c r="BQ7" t="s">
        <v>555</v>
      </c>
      <c r="BR7" t="s">
        <v>549</v>
      </c>
      <c r="BS7" t="s">
        <v>549</v>
      </c>
      <c r="BT7" t="s">
        <v>26</v>
      </c>
      <c r="BU7" t="s">
        <v>549</v>
      </c>
      <c r="BX7" t="s">
        <v>25</v>
      </c>
      <c r="BZ7" t="s">
        <v>556</v>
      </c>
      <c r="CC7" t="s">
        <v>217</v>
      </c>
    </row>
    <row r="8" spans="1:81" x14ac:dyDescent="0.2">
      <c r="A8" t="str">
        <f>'Begr.-Rechner int. Prod.'!A11</f>
        <v>Einjähriges Raygras (Westerwoldisches Raygras)</v>
      </c>
      <c r="B8">
        <f>'Begr.-Rechner int. Prod.'!C11</f>
        <v>40</v>
      </c>
      <c r="C8" t="s">
        <v>162</v>
      </c>
      <c r="D8" t="s">
        <v>21</v>
      </c>
      <c r="E8" t="s">
        <v>38</v>
      </c>
      <c r="F8" t="s">
        <v>903</v>
      </c>
      <c r="H8" t="s">
        <v>19</v>
      </c>
      <c r="K8" t="s">
        <v>94</v>
      </c>
      <c r="W8" t="s">
        <v>25</v>
      </c>
      <c r="Z8" t="s">
        <v>35</v>
      </c>
      <c r="AA8" t="s">
        <v>35</v>
      </c>
      <c r="AC8" t="s">
        <v>910</v>
      </c>
      <c r="AD8" t="s">
        <v>910</v>
      </c>
      <c r="AG8" t="s">
        <v>39</v>
      </c>
      <c r="AH8" t="s">
        <v>31</v>
      </c>
      <c r="AI8" t="s">
        <v>19</v>
      </c>
      <c r="AJ8" t="s">
        <v>21</v>
      </c>
      <c r="AR8" t="s">
        <v>33</v>
      </c>
      <c r="AS8" t="s">
        <v>928</v>
      </c>
      <c r="AT8" t="s">
        <v>35</v>
      </c>
      <c r="BB8" t="s">
        <v>549</v>
      </c>
      <c r="BC8" t="s">
        <v>555</v>
      </c>
      <c r="BE8" t="s">
        <v>555</v>
      </c>
      <c r="BF8" t="s">
        <v>902</v>
      </c>
      <c r="BG8" t="s">
        <v>557</v>
      </c>
      <c r="BH8" t="s">
        <v>26</v>
      </c>
      <c r="BI8" t="s">
        <v>549</v>
      </c>
      <c r="BJ8" t="s">
        <v>555</v>
      </c>
      <c r="BK8" t="s">
        <v>549</v>
      </c>
      <c r="BL8" t="s">
        <v>217</v>
      </c>
      <c r="BM8" t="s">
        <v>549</v>
      </c>
      <c r="BO8" t="s">
        <v>35</v>
      </c>
      <c r="BQ8" t="s">
        <v>960</v>
      </c>
      <c r="BR8" t="s">
        <v>555</v>
      </c>
      <c r="BS8" t="s">
        <v>555</v>
      </c>
      <c r="BT8" t="s">
        <v>549</v>
      </c>
      <c r="BU8" t="s">
        <v>35</v>
      </c>
      <c r="BX8" t="s">
        <v>26</v>
      </c>
      <c r="BZ8" t="s">
        <v>42</v>
      </c>
    </row>
    <row r="9" spans="1:81" x14ac:dyDescent="0.2">
      <c r="A9" t="str">
        <f>'Begr.-Rechner int. Prod.'!A12</f>
        <v>Englisches Raygras (Deutsches Weidelgras)</v>
      </c>
      <c r="B9">
        <f>'Begr.-Rechner int. Prod.'!C12</f>
        <v>30</v>
      </c>
      <c r="C9" t="s">
        <v>162</v>
      </c>
      <c r="D9" t="s">
        <v>557</v>
      </c>
      <c r="H9" t="s">
        <v>21</v>
      </c>
      <c r="K9" t="s">
        <v>38</v>
      </c>
      <c r="W9" t="s">
        <v>26</v>
      </c>
      <c r="AH9" t="s">
        <v>35</v>
      </c>
      <c r="AI9" t="s">
        <v>21</v>
      </c>
      <c r="AJ9" t="s">
        <v>26</v>
      </c>
      <c r="AR9" t="s">
        <v>556</v>
      </c>
      <c r="BC9" t="s">
        <v>42</v>
      </c>
      <c r="BE9" t="s">
        <v>35</v>
      </c>
      <c r="BF9" t="s">
        <v>557</v>
      </c>
      <c r="BG9" t="s">
        <v>25</v>
      </c>
      <c r="BH9" t="s">
        <v>549</v>
      </c>
      <c r="BI9" t="s">
        <v>555</v>
      </c>
      <c r="BJ9" t="s">
        <v>960</v>
      </c>
      <c r="BK9" t="s">
        <v>555</v>
      </c>
      <c r="BL9" t="s">
        <v>38</v>
      </c>
      <c r="BO9" t="s">
        <v>217</v>
      </c>
      <c r="BR9" t="s">
        <v>217</v>
      </c>
      <c r="BX9" t="s">
        <v>549</v>
      </c>
    </row>
    <row r="10" spans="1:81" x14ac:dyDescent="0.2">
      <c r="A10" t="str">
        <f>'Begr.-Rechner int. Prod.'!A13</f>
        <v>Esparsette</v>
      </c>
      <c r="B10">
        <f>'Begr.-Rechner int. Prod.'!C13</f>
        <v>180</v>
      </c>
      <c r="C10" t="s">
        <v>317</v>
      </c>
      <c r="D10" t="s">
        <v>26</v>
      </c>
      <c r="H10" t="s">
        <v>557</v>
      </c>
      <c r="W10" t="s">
        <v>549</v>
      </c>
      <c r="AH10" t="s">
        <v>39</v>
      </c>
      <c r="AI10" t="s">
        <v>26</v>
      </c>
      <c r="AJ10" t="s">
        <v>30</v>
      </c>
      <c r="BC10" t="s">
        <v>920</v>
      </c>
      <c r="BE10" t="s">
        <v>217</v>
      </c>
      <c r="BF10" t="s">
        <v>26</v>
      </c>
      <c r="BG10" t="s">
        <v>26</v>
      </c>
      <c r="BH10" t="s">
        <v>555</v>
      </c>
      <c r="BI10" t="s">
        <v>960</v>
      </c>
      <c r="BK10" t="s">
        <v>960</v>
      </c>
      <c r="BL10" t="s">
        <v>960</v>
      </c>
      <c r="BO10" t="s">
        <v>38</v>
      </c>
      <c r="BR10" t="s">
        <v>960</v>
      </c>
      <c r="BX10" t="s">
        <v>35</v>
      </c>
    </row>
    <row r="11" spans="1:81" x14ac:dyDescent="0.2">
      <c r="A11" t="str">
        <f>'Begr.-Rechner int. Prod.'!A14</f>
        <v>Futtererbse</v>
      </c>
      <c r="B11">
        <f>'Begr.-Rechner int. Prod.'!C14</f>
        <v>160</v>
      </c>
      <c r="C11" t="s">
        <v>317</v>
      </c>
      <c r="D11" t="s">
        <v>31</v>
      </c>
      <c r="H11" t="s">
        <v>31</v>
      </c>
      <c r="W11" t="s">
        <v>555</v>
      </c>
      <c r="AI11" t="s">
        <v>30</v>
      </c>
      <c r="AJ11" t="s">
        <v>31</v>
      </c>
      <c r="BF11" t="s">
        <v>549</v>
      </c>
      <c r="BG11" t="s">
        <v>31</v>
      </c>
      <c r="BH11" t="s">
        <v>960</v>
      </c>
    </row>
    <row r="12" spans="1:81" x14ac:dyDescent="0.2">
      <c r="A12" t="str">
        <f>'Begr.-Rechner int. Prod.'!A15</f>
        <v>Futterkohl</v>
      </c>
      <c r="B12">
        <f>'Begr.-Rechner int. Prod.'!C15</f>
        <v>4</v>
      </c>
      <c r="C12" t="s">
        <v>120</v>
      </c>
      <c r="D12" t="s">
        <v>35</v>
      </c>
      <c r="H12" t="s">
        <v>34</v>
      </c>
      <c r="W12" t="s">
        <v>217</v>
      </c>
      <c r="AI12" t="s">
        <v>31</v>
      </c>
      <c r="AJ12" t="s">
        <v>34</v>
      </c>
      <c r="BF12" t="s">
        <v>555</v>
      </c>
      <c r="BG12" t="s">
        <v>549</v>
      </c>
    </row>
    <row r="13" spans="1:81" x14ac:dyDescent="0.2">
      <c r="A13" t="str">
        <f>'Begr.-Rechner int. Prod.'!A16</f>
        <v>Gelbklee (Hopfenklee)</v>
      </c>
      <c r="B13">
        <f>'Begr.-Rechner int. Prod.'!C16</f>
        <v>30</v>
      </c>
      <c r="C13" t="s">
        <v>317</v>
      </c>
      <c r="D13" t="s">
        <v>403</v>
      </c>
      <c r="H13" t="s">
        <v>35</v>
      </c>
      <c r="AI13" t="s">
        <v>35</v>
      </c>
      <c r="AJ13" t="s">
        <v>37</v>
      </c>
      <c r="BF13" t="s">
        <v>217</v>
      </c>
      <c r="BG13" t="s">
        <v>34</v>
      </c>
    </row>
    <row r="14" spans="1:81" x14ac:dyDescent="0.2">
      <c r="A14" t="str">
        <f>'Begr.-Rechner int. Prod.'!A17</f>
        <v>Grünschnittroggen</v>
      </c>
      <c r="B14">
        <f>'Begr.-Rechner int. Prod.'!C17</f>
        <v>120</v>
      </c>
      <c r="C14" t="s">
        <v>162</v>
      </c>
      <c r="D14" t="s">
        <v>39</v>
      </c>
      <c r="H14" t="s">
        <v>217</v>
      </c>
      <c r="AI14" t="s">
        <v>217</v>
      </c>
      <c r="AJ14" t="s">
        <v>42</v>
      </c>
      <c r="BG14" t="s">
        <v>217</v>
      </c>
    </row>
    <row r="15" spans="1:81" x14ac:dyDescent="0.2">
      <c r="A15" t="str">
        <f>'Begr.-Rechner int. Prod.'!A18</f>
        <v>Herbstrübe</v>
      </c>
      <c r="B15">
        <f>'Begr.-Rechner int. Prod.'!C18</f>
        <v>2</v>
      </c>
      <c r="C15" t="s">
        <v>120</v>
      </c>
      <c r="D15" t="s">
        <v>408</v>
      </c>
      <c r="H15" t="s">
        <v>490</v>
      </c>
      <c r="AI15" t="s">
        <v>39</v>
      </c>
      <c r="AJ15" t="s">
        <v>910</v>
      </c>
      <c r="BG15" t="s">
        <v>38</v>
      </c>
    </row>
    <row r="16" spans="1:81" x14ac:dyDescent="0.2">
      <c r="A16" t="str">
        <f>'Begr.-Rechner int. Prod.'!A19</f>
        <v>Hirse</v>
      </c>
      <c r="B16">
        <f>'Begr.-Rechner int. Prod.'!C19</f>
        <v>15</v>
      </c>
      <c r="C16" t="s">
        <v>162</v>
      </c>
      <c r="D16" t="s">
        <v>917</v>
      </c>
      <c r="H16" t="s">
        <v>39</v>
      </c>
      <c r="AI16" t="s">
        <v>917</v>
      </c>
      <c r="AJ16" t="s">
        <v>917</v>
      </c>
      <c r="BG16" t="s">
        <v>39</v>
      </c>
    </row>
    <row r="17" spans="1:59" x14ac:dyDescent="0.2">
      <c r="A17" t="str">
        <f>'Begr.-Rechner int. Prod.'!A20</f>
        <v>Hornklee</v>
      </c>
      <c r="B17">
        <f>'Begr.-Rechner int. Prod.'!C20</f>
        <v>20</v>
      </c>
      <c r="C17" t="s">
        <v>317</v>
      </c>
      <c r="D17" t="s">
        <v>918</v>
      </c>
      <c r="H17" t="s">
        <v>556</v>
      </c>
      <c r="AI17" t="s">
        <v>918</v>
      </c>
      <c r="AJ17" t="s">
        <v>276</v>
      </c>
      <c r="BG17" t="s">
        <v>42</v>
      </c>
    </row>
    <row r="18" spans="1:59" x14ac:dyDescent="0.2">
      <c r="A18" t="str">
        <f>'Begr.-Rechner int. Prod.'!A21</f>
        <v>Inkarnatklee</v>
      </c>
      <c r="B18">
        <f>'Begr.-Rechner int. Prod.'!C21</f>
        <v>30</v>
      </c>
      <c r="C18" t="s">
        <v>317</v>
      </c>
      <c r="H18" t="s">
        <v>917</v>
      </c>
      <c r="AI18" t="s">
        <v>924</v>
      </c>
      <c r="AJ18" t="s">
        <v>924</v>
      </c>
      <c r="BG18" t="s">
        <v>960</v>
      </c>
    </row>
    <row r="19" spans="1:59" x14ac:dyDescent="0.2">
      <c r="A19" t="str">
        <f>'Begr.-Rechner int. Prod.'!A22</f>
        <v>Italienisches Raygras (Welsches Weidelgras)</v>
      </c>
      <c r="B19">
        <f>'Begr.-Rechner int. Prod.'!C22</f>
        <v>40</v>
      </c>
      <c r="C19" t="s">
        <v>162</v>
      </c>
      <c r="H19" t="s">
        <v>918</v>
      </c>
    </row>
    <row r="20" spans="1:59" x14ac:dyDescent="0.2">
      <c r="A20" t="str">
        <f>'Begr.-Rechner int. Prod.'!A23</f>
        <v>Kresse</v>
      </c>
      <c r="B20">
        <f>'Begr.-Rechner int. Prod.'!C23</f>
        <v>10</v>
      </c>
      <c r="C20" t="s">
        <v>120</v>
      </c>
      <c r="H20" t="s">
        <v>920</v>
      </c>
    </row>
    <row r="21" spans="1:59" x14ac:dyDescent="0.2">
      <c r="A21" t="str">
        <f>'Begr.-Rechner int. Prod.'!A24</f>
        <v>Krumenklee</v>
      </c>
      <c r="B21">
        <f>'Begr.-Rechner int. Prod.'!C24</f>
        <v>30</v>
      </c>
      <c r="C21" t="s">
        <v>317</v>
      </c>
      <c r="H21" t="s">
        <v>921</v>
      </c>
    </row>
    <row r="22" spans="1:59" x14ac:dyDescent="0.2">
      <c r="A22" t="s">
        <v>915</v>
      </c>
      <c r="B22">
        <f>'Begr.-Rechner int. Prod.'!C25</f>
        <v>12</v>
      </c>
      <c r="C22" t="s">
        <v>321</v>
      </c>
      <c r="H22" t="s">
        <v>922</v>
      </c>
    </row>
    <row r="23" spans="1:59" x14ac:dyDescent="0.2">
      <c r="A23" t="str">
        <f>'Begr.-Rechner int. Prod.'!A26</f>
        <v>Leindotter</v>
      </c>
      <c r="B23">
        <f>'Begr.-Rechner int. Prod.'!C26</f>
        <v>10</v>
      </c>
      <c r="C23" t="s">
        <v>120</v>
      </c>
    </row>
    <row r="24" spans="1:59" x14ac:dyDescent="0.2">
      <c r="A24" t="str">
        <f>'Begr.-Rechner int. Prod.'!A27</f>
        <v>Linse</v>
      </c>
      <c r="B24">
        <f>'Begr.-Rechner int. Prod.'!C27</f>
        <v>90</v>
      </c>
      <c r="C24" t="s">
        <v>317</v>
      </c>
    </row>
    <row r="25" spans="1:59" x14ac:dyDescent="0.2">
      <c r="A25" t="str">
        <f>'Begr.-Rechner int. Prod.'!A28</f>
        <v>Luzerne</v>
      </c>
      <c r="B25">
        <f>'Begr.-Rechner int. Prod.'!C28</f>
        <v>25</v>
      </c>
      <c r="C25" t="s">
        <v>317</v>
      </c>
    </row>
    <row r="26" spans="1:59" x14ac:dyDescent="0.2">
      <c r="A26" t="str">
        <f>'Begr.-Rechner int. Prod.'!A29</f>
        <v>Meliorationsrettich</v>
      </c>
      <c r="B26">
        <f>'Begr.-Rechner int. Prod.'!C29</f>
        <v>8</v>
      </c>
      <c r="C26" t="s">
        <v>120</v>
      </c>
    </row>
    <row r="27" spans="1:59" x14ac:dyDescent="0.2">
      <c r="A27" t="str">
        <f>'Begr.-Rechner int. Prod.'!A30</f>
        <v>Schwarzsamen / Ramtillkraut / Gingellikraut / Mungo</v>
      </c>
      <c r="B27">
        <f>'Begr.-Rechner int. Prod.'!C30</f>
        <v>10</v>
      </c>
      <c r="C27" t="s">
        <v>319</v>
      </c>
    </row>
    <row r="28" spans="1:59" x14ac:dyDescent="0.2">
      <c r="A28" t="str">
        <f>'Begr.-Rechner int. Prod.'!A31</f>
        <v>Öllein</v>
      </c>
      <c r="B28">
        <f>'Begr.-Rechner int. Prod.'!C31</f>
        <v>50</v>
      </c>
      <c r="C28" t="s">
        <v>373</v>
      </c>
    </row>
    <row r="29" spans="1:59" x14ac:dyDescent="0.2">
      <c r="A29" t="str">
        <f>'Begr.-Rechner int. Prod.'!A32</f>
        <v>Ölrettich</v>
      </c>
      <c r="B29">
        <f>'Begr.-Rechner int. Prod.'!C32</f>
        <v>20</v>
      </c>
      <c r="C29" t="s">
        <v>120</v>
      </c>
    </row>
    <row r="30" spans="1:59" x14ac:dyDescent="0.2">
      <c r="A30" t="str">
        <f>'Begr.-Rechner int. Prod.'!A33</f>
        <v>Ölrettich nematodenhemmend</v>
      </c>
      <c r="B30">
        <f>'Begr.-Rechner int. Prod.'!C33</f>
        <v>25</v>
      </c>
      <c r="C30" t="s">
        <v>120</v>
      </c>
    </row>
    <row r="31" spans="1:59" x14ac:dyDescent="0.2">
      <c r="A31" t="str">
        <f>'Begr.-Rechner int. Prod.'!A34</f>
        <v>Persischer Klee</v>
      </c>
      <c r="B31">
        <f>'Begr.-Rechner int. Prod.'!C34</f>
        <v>20</v>
      </c>
      <c r="C31" t="s">
        <v>317</v>
      </c>
    </row>
    <row r="32" spans="1:59" x14ac:dyDescent="0.2">
      <c r="A32" t="str">
        <f>'Begr.-Rechner int. Prod.'!A35</f>
        <v>Phazelie</v>
      </c>
      <c r="B32">
        <f>'Begr.-Rechner int. Prod.'!C35</f>
        <v>12</v>
      </c>
      <c r="C32" t="s">
        <v>320</v>
      </c>
    </row>
    <row r="33" spans="1:3" x14ac:dyDescent="0.2">
      <c r="A33" t="str">
        <f>'Begr.-Rechner int. Prod.'!A36</f>
        <v>Pigmentplatterbse</v>
      </c>
      <c r="B33">
        <f>'Begr.-Rechner int. Prod.'!C36</f>
        <v>140</v>
      </c>
      <c r="C33" t="s">
        <v>317</v>
      </c>
    </row>
    <row r="34" spans="1:3" x14ac:dyDescent="0.2">
      <c r="A34" t="str">
        <f>'Begr.-Rechner int. Prod.'!A37</f>
        <v xml:space="preserve">Ringelblume </v>
      </c>
      <c r="B34">
        <f>'Begr.-Rechner int. Prod.'!C37</f>
        <v>12</v>
      </c>
      <c r="C34" t="s">
        <v>319</v>
      </c>
    </row>
    <row r="35" spans="1:3" x14ac:dyDescent="0.2">
      <c r="A35" t="str">
        <f>'Begr.-Rechner int. Prod.'!A38</f>
        <v>Rotklee</v>
      </c>
      <c r="B35">
        <f>'Begr.-Rechner int. Prod.'!C38</f>
        <v>25</v>
      </c>
      <c r="C35" t="s">
        <v>317</v>
      </c>
    </row>
    <row r="36" spans="1:3" x14ac:dyDescent="0.2">
      <c r="A36" t="str">
        <f>'Begr.-Rechner int. Prod.'!A39</f>
        <v>Saatplatterbse</v>
      </c>
      <c r="B36">
        <f>'Begr.-Rechner int. Prod.'!C39</f>
        <v>150</v>
      </c>
      <c r="C36" t="s">
        <v>317</v>
      </c>
    </row>
    <row r="37" spans="1:3" x14ac:dyDescent="0.2">
      <c r="A37" t="str">
        <f>'Begr.-Rechner int. Prod.'!A40</f>
        <v>Saatwicke / Sommerwicke</v>
      </c>
      <c r="B37">
        <f>'Begr.-Rechner int. Prod.'!C40</f>
        <v>130</v>
      </c>
      <c r="C37" t="s">
        <v>317</v>
      </c>
    </row>
    <row r="38" spans="1:3" x14ac:dyDescent="0.2">
      <c r="A38" t="str">
        <f>'Begr.-Rechner int. Prod.'!A41</f>
        <v>Saflor</v>
      </c>
      <c r="B38">
        <f>'Begr.-Rechner int. Prod.'!C41</f>
        <v>30</v>
      </c>
      <c r="C38" t="s">
        <v>120</v>
      </c>
    </row>
    <row r="39" spans="1:3" x14ac:dyDescent="0.2">
      <c r="A39" t="str">
        <f>'Begr.-Rechner int. Prod.'!A42</f>
        <v>Sandhafer / Rauhafer</v>
      </c>
      <c r="B39">
        <f>'Begr.-Rechner int. Prod.'!C42</f>
        <v>100</v>
      </c>
      <c r="C39" t="s">
        <v>162</v>
      </c>
    </row>
    <row r="40" spans="1:3" x14ac:dyDescent="0.2">
      <c r="A40" t="str">
        <f>'Begr.-Rechner int. Prod.'!A43</f>
        <v>Sarepta-Senf</v>
      </c>
      <c r="B40">
        <f>'Begr.-Rechner int. Prod.'!C43</f>
        <v>10</v>
      </c>
      <c r="C40" t="s">
        <v>120</v>
      </c>
    </row>
    <row r="41" spans="1:3" x14ac:dyDescent="0.2">
      <c r="A41" t="str">
        <f>'Begr.-Rechner int. Prod.'!A44</f>
        <v>Schwedenklee</v>
      </c>
      <c r="B41">
        <f>'Begr.-Rechner int. Prod.'!C44</f>
        <v>20</v>
      </c>
      <c r="C41" t="s">
        <v>317</v>
      </c>
    </row>
    <row r="42" spans="1:3" x14ac:dyDescent="0.2">
      <c r="A42" t="str">
        <f>'Begr.-Rechner int. Prod.'!A45</f>
        <v>Senf</v>
      </c>
      <c r="B42">
        <f>'Begr.-Rechner int. Prod.'!C45</f>
        <v>15</v>
      </c>
      <c r="C42" t="s">
        <v>120</v>
      </c>
    </row>
    <row r="43" spans="1:3" x14ac:dyDescent="0.2">
      <c r="A43" t="str">
        <f>'Begr.-Rechner int. Prod.'!A46</f>
        <v>Senf nematodenhemmend / nematodenresistent</v>
      </c>
      <c r="B43">
        <f>'Begr.-Rechner int. Prod.'!C46</f>
        <v>20</v>
      </c>
      <c r="C43" t="s">
        <v>120</v>
      </c>
    </row>
    <row r="44" spans="1:3" x14ac:dyDescent="0.2">
      <c r="A44" t="str">
        <f>'Begr.-Rechner int. Prod.'!A47</f>
        <v>Sommerfutterraps</v>
      </c>
      <c r="B44">
        <f>'Begr.-Rechner int. Prod.'!C47</f>
        <v>15</v>
      </c>
      <c r="C44" t="s">
        <v>120</v>
      </c>
    </row>
    <row r="45" spans="1:3" x14ac:dyDescent="0.2">
      <c r="A45" t="str">
        <f>'Begr.-Rechner int. Prod.'!A48</f>
        <v>Sonnenblume</v>
      </c>
      <c r="B45">
        <f>'Begr.-Rechner int. Prod.'!C48</f>
        <v>6</v>
      </c>
      <c r="C45" t="s">
        <v>319</v>
      </c>
    </row>
    <row r="46" spans="1:3" x14ac:dyDescent="0.2">
      <c r="A46" t="str">
        <f>'Begr.-Rechner int. Prod.'!A49</f>
        <v>Spitzwegerich</v>
      </c>
      <c r="B46">
        <f>'Begr.-Rechner int. Prod.'!C49</f>
        <v>20</v>
      </c>
      <c r="C46" t="s">
        <v>456</v>
      </c>
    </row>
    <row r="47" spans="1:3" x14ac:dyDescent="0.2">
      <c r="A47" t="str">
        <f>'Begr.-Rechner int. Prod.'!A50</f>
        <v>Steinklee gelb</v>
      </c>
      <c r="B47">
        <f>'Begr.-Rechner int. Prod.'!C50</f>
        <v>20</v>
      </c>
      <c r="C47" t="s">
        <v>317</v>
      </c>
    </row>
    <row r="48" spans="1:3" x14ac:dyDescent="0.2">
      <c r="A48" t="str">
        <f>'Begr.-Rechner int. Prod.'!A51</f>
        <v>Sudangras</v>
      </c>
      <c r="B48">
        <f>'Begr.-Rechner int. Prod.'!C51</f>
        <v>25</v>
      </c>
      <c r="C48" t="s">
        <v>162</v>
      </c>
    </row>
    <row r="49" spans="1:3" x14ac:dyDescent="0.2">
      <c r="A49" t="str">
        <f>'Begr.-Rechner int. Prod.'!A52</f>
        <v>Waldstaudenroggen</v>
      </c>
      <c r="B49">
        <f>'Begr.-Rechner int. Prod.'!C52</f>
        <v>120</v>
      </c>
      <c r="C49" t="s">
        <v>162</v>
      </c>
    </row>
    <row r="50" spans="1:3" x14ac:dyDescent="0.2">
      <c r="A50" t="str">
        <f>'Begr.-Rechner int. Prod.'!A53</f>
        <v>Weißklee</v>
      </c>
      <c r="B50">
        <f>'Begr.-Rechner int. Prod.'!C53</f>
        <v>12</v>
      </c>
      <c r="C50" t="s">
        <v>317</v>
      </c>
    </row>
    <row r="51" spans="1:3" x14ac:dyDescent="0.2">
      <c r="A51" t="str">
        <f>'Begr.-Rechner int. Prod.'!A54</f>
        <v>Winterfuttererbse</v>
      </c>
      <c r="B51">
        <f>'Begr.-Rechner int. Prod.'!C54</f>
        <v>150</v>
      </c>
      <c r="C51" t="s">
        <v>317</v>
      </c>
    </row>
    <row r="52" spans="1:3" x14ac:dyDescent="0.2">
      <c r="A52" t="str">
        <f>'Begr.-Rechner int. Prod.'!A55</f>
        <v>Winterfutterraps</v>
      </c>
      <c r="B52">
        <f>'Begr.-Rechner int. Prod.'!C55</f>
        <v>15</v>
      </c>
      <c r="C52" t="s">
        <v>120</v>
      </c>
    </row>
    <row r="53" spans="1:3" x14ac:dyDescent="0.2">
      <c r="A53" t="str">
        <f>'Begr.-Rechner int. Prod.'!A56</f>
        <v>Winterrübsen</v>
      </c>
      <c r="B53">
        <f>'Begr.-Rechner int. Prod.'!C56</f>
        <v>15</v>
      </c>
      <c r="C53" t="s">
        <v>120</v>
      </c>
    </row>
    <row r="54" spans="1:3" x14ac:dyDescent="0.2">
      <c r="A54" t="str">
        <f>'Begr.-Rechner int. Prod.'!A57</f>
        <v>Winterwicke Pannonisch</v>
      </c>
      <c r="B54">
        <f>'Begr.-Rechner int. Prod.'!C57</f>
        <v>100</v>
      </c>
      <c r="C54" t="s">
        <v>317</v>
      </c>
    </row>
    <row r="55" spans="1:3" x14ac:dyDescent="0.2">
      <c r="A55" t="str">
        <f>'Begr.-Rechner int. Prod.'!A58</f>
        <v>Zichorie</v>
      </c>
      <c r="B55">
        <f>'Begr.-Rechner int. Prod.'!C58</f>
        <v>15</v>
      </c>
      <c r="C55" t="s">
        <v>319</v>
      </c>
    </row>
    <row r="56" spans="1:3" x14ac:dyDescent="0.2">
      <c r="A56" t="str">
        <f>'Begr.-Rechner int. Prod.'!A59</f>
        <v>Zwerghirse</v>
      </c>
      <c r="B56">
        <f>'Begr.-Rechner int. Prod.'!C59</f>
        <v>12</v>
      </c>
      <c r="C56" t="s">
        <v>162</v>
      </c>
    </row>
    <row r="57" spans="1:3" x14ac:dyDescent="0.2">
      <c r="A57" t="s">
        <v>903</v>
      </c>
      <c r="C57" t="s">
        <v>162</v>
      </c>
    </row>
    <row r="58" spans="1:3" x14ac:dyDescent="0.2">
      <c r="A58" t="s">
        <v>960</v>
      </c>
      <c r="C58" t="s">
        <v>317</v>
      </c>
    </row>
    <row r="59" spans="1:3" x14ac:dyDescent="0.2">
      <c r="A59" t="s">
        <v>912</v>
      </c>
      <c r="C59" t="s">
        <v>317</v>
      </c>
    </row>
    <row r="60" spans="1:3" x14ac:dyDescent="0.2">
      <c r="A60" t="s">
        <v>913</v>
      </c>
      <c r="C60" t="s">
        <v>317</v>
      </c>
    </row>
    <row r="61" spans="1:3" x14ac:dyDescent="0.2">
      <c r="A61" t="s">
        <v>917</v>
      </c>
      <c r="C61" t="s">
        <v>370</v>
      </c>
    </row>
    <row r="62" spans="1:3" x14ac:dyDescent="0.2">
      <c r="A62" t="s">
        <v>918</v>
      </c>
      <c r="C62" t="s">
        <v>370</v>
      </c>
    </row>
    <row r="63" spans="1:3" x14ac:dyDescent="0.2">
      <c r="A63" t="s">
        <v>919</v>
      </c>
      <c r="C63" t="s">
        <v>319</v>
      </c>
    </row>
    <row r="64" spans="1:3" x14ac:dyDescent="0.2">
      <c r="A64" t="s">
        <v>920</v>
      </c>
      <c r="C64" t="s">
        <v>120</v>
      </c>
    </row>
    <row r="65" spans="1:22" x14ac:dyDescent="0.2">
      <c r="A65" t="s">
        <v>921</v>
      </c>
      <c r="C65" t="s">
        <v>120</v>
      </c>
    </row>
    <row r="66" spans="1:22" x14ac:dyDescent="0.2">
      <c r="A66" t="s">
        <v>922</v>
      </c>
      <c r="C66" t="s">
        <v>162</v>
      </c>
    </row>
    <row r="67" spans="1:22" x14ac:dyDescent="0.2">
      <c r="A67" t="s">
        <v>923</v>
      </c>
      <c r="C67" t="s">
        <v>162</v>
      </c>
    </row>
    <row r="68" spans="1:22" x14ac:dyDescent="0.2">
      <c r="A68" t="s">
        <v>276</v>
      </c>
      <c r="C68" t="s">
        <v>317</v>
      </c>
    </row>
    <row r="69" spans="1:22" x14ac:dyDescent="0.2">
      <c r="A69" t="s">
        <v>924</v>
      </c>
      <c r="C69" t="s">
        <v>370</v>
      </c>
    </row>
    <row r="70" spans="1:22" x14ac:dyDescent="0.2">
      <c r="A70" t="s">
        <v>928</v>
      </c>
      <c r="C70" t="s">
        <v>319</v>
      </c>
    </row>
    <row r="77" spans="1:22" x14ac:dyDescent="0.2">
      <c r="A77">
        <v>1</v>
      </c>
      <c r="B77">
        <v>2</v>
      </c>
      <c r="C77">
        <v>3</v>
      </c>
      <c r="D77">
        <v>4</v>
      </c>
      <c r="E77">
        <v>5</v>
      </c>
      <c r="F77">
        <v>6</v>
      </c>
      <c r="G77">
        <v>7</v>
      </c>
      <c r="H77">
        <v>8</v>
      </c>
      <c r="I77">
        <v>9</v>
      </c>
      <c r="J77">
        <v>10</v>
      </c>
      <c r="K77">
        <v>11</v>
      </c>
      <c r="L77">
        <v>12</v>
      </c>
      <c r="M77">
        <v>13</v>
      </c>
      <c r="N77">
        <v>14</v>
      </c>
      <c r="O77">
        <v>15</v>
      </c>
      <c r="P77">
        <v>16</v>
      </c>
      <c r="Q77">
        <v>17</v>
      </c>
      <c r="R77">
        <v>18</v>
      </c>
      <c r="S77">
        <v>19</v>
      </c>
      <c r="T77">
        <v>20</v>
      </c>
      <c r="U77">
        <v>21</v>
      </c>
      <c r="V77">
        <v>22</v>
      </c>
    </row>
    <row r="78" spans="1:22" ht="15" thickBot="1" x14ac:dyDescent="0.25">
      <c r="A78" t="s">
        <v>364</v>
      </c>
      <c r="B78" t="s">
        <v>10</v>
      </c>
      <c r="C78" t="s">
        <v>67</v>
      </c>
      <c r="D78" t="s">
        <v>14</v>
      </c>
      <c r="E78" t="s">
        <v>71</v>
      </c>
      <c r="F78" t="s">
        <v>16</v>
      </c>
      <c r="G78" t="s">
        <v>19</v>
      </c>
      <c r="H78" t="s">
        <v>21</v>
      </c>
      <c r="I78" t="s">
        <v>557</v>
      </c>
      <c r="J78" t="s">
        <v>26</v>
      </c>
      <c r="K78" t="s">
        <v>31</v>
      </c>
      <c r="L78" t="s">
        <v>35</v>
      </c>
      <c r="M78" t="s">
        <v>403</v>
      </c>
      <c r="N78" t="s">
        <v>39</v>
      </c>
      <c r="O78" t="s">
        <v>408</v>
      </c>
      <c r="P78" t="s">
        <v>917</v>
      </c>
      <c r="Q78" t="s">
        <v>918</v>
      </c>
    </row>
    <row r="79" spans="1:22" ht="45.75" thickBot="1" x14ac:dyDescent="0.25">
      <c r="A79" t="s">
        <v>365</v>
      </c>
      <c r="B79" t="s">
        <v>8</v>
      </c>
      <c r="C79" t="s">
        <v>23</v>
      </c>
      <c r="D79" s="17" t="s">
        <v>1082</v>
      </c>
      <c r="E79" t="s">
        <v>557</v>
      </c>
      <c r="F79" t="s">
        <v>549</v>
      </c>
      <c r="G79" t="s">
        <v>94</v>
      </c>
      <c r="H79" t="s">
        <v>38</v>
      </c>
    </row>
    <row r="80" spans="1:22" ht="15" x14ac:dyDescent="0.2">
      <c r="A80" t="s">
        <v>447</v>
      </c>
      <c r="B80" t="s">
        <v>23</v>
      </c>
      <c r="C80" s="17" t="s">
        <v>1082</v>
      </c>
      <c r="D80" t="s">
        <v>557</v>
      </c>
      <c r="E80" t="s">
        <v>26</v>
      </c>
      <c r="F80" t="s">
        <v>94</v>
      </c>
      <c r="G80" t="s">
        <v>38</v>
      </c>
      <c r="H80" t="s">
        <v>903</v>
      </c>
    </row>
    <row r="81" spans="1:22" x14ac:dyDescent="0.2">
      <c r="A81" t="s">
        <v>875</v>
      </c>
      <c r="B81" t="s">
        <v>8</v>
      </c>
      <c r="C81" t="s">
        <v>65</v>
      </c>
      <c r="D81" t="s">
        <v>11</v>
      </c>
      <c r="E81" t="s">
        <v>16</v>
      </c>
      <c r="F81" t="s">
        <v>397</v>
      </c>
    </row>
    <row r="82" spans="1:22" x14ac:dyDescent="0.2">
      <c r="A82" t="s">
        <v>442</v>
      </c>
      <c r="B82" t="s">
        <v>10</v>
      </c>
      <c r="C82" t="s">
        <v>67</v>
      </c>
      <c r="D82" t="s">
        <v>14</v>
      </c>
      <c r="E82" t="s">
        <v>70</v>
      </c>
      <c r="F82" t="s">
        <v>16</v>
      </c>
      <c r="G82" t="s">
        <v>915</v>
      </c>
      <c r="H82" t="s">
        <v>19</v>
      </c>
      <c r="I82" t="s">
        <v>21</v>
      </c>
      <c r="J82" t="s">
        <v>557</v>
      </c>
      <c r="K82" t="s">
        <v>31</v>
      </c>
      <c r="L82" t="s">
        <v>34</v>
      </c>
      <c r="M82" t="s">
        <v>35</v>
      </c>
      <c r="N82" t="s">
        <v>217</v>
      </c>
      <c r="O82" t="s">
        <v>490</v>
      </c>
      <c r="P82" t="s">
        <v>39</v>
      </c>
      <c r="Q82" t="s">
        <v>556</v>
      </c>
      <c r="R82" t="s">
        <v>917</v>
      </c>
      <c r="S82" t="s">
        <v>918</v>
      </c>
      <c r="T82" t="s">
        <v>920</v>
      </c>
      <c r="U82" t="s">
        <v>921</v>
      </c>
      <c r="V82" t="s">
        <v>922</v>
      </c>
    </row>
    <row r="83" spans="1:22" x14ac:dyDescent="0.2">
      <c r="A83" t="s">
        <v>53</v>
      </c>
      <c r="B83" t="s">
        <v>65</v>
      </c>
      <c r="C83" t="s">
        <v>16</v>
      </c>
      <c r="D83" t="s">
        <v>42</v>
      </c>
      <c r="E83" t="s">
        <v>913</v>
      </c>
      <c r="F83" t="s">
        <v>923</v>
      </c>
    </row>
    <row r="84" spans="1:22" ht="15" thickBot="1" x14ac:dyDescent="0.25">
      <c r="A84" t="s">
        <v>55</v>
      </c>
      <c r="B84" t="s">
        <v>906</v>
      </c>
      <c r="C84" t="s">
        <v>13</v>
      </c>
      <c r="D84" t="s">
        <v>549</v>
      </c>
      <c r="E84" t="s">
        <v>217</v>
      </c>
      <c r="F84" t="s">
        <v>38</v>
      </c>
    </row>
    <row r="85" spans="1:22" ht="60" x14ac:dyDescent="0.2">
      <c r="A85" t="s">
        <v>367</v>
      </c>
      <c r="B85" t="s">
        <v>8</v>
      </c>
      <c r="C85" t="s">
        <v>13</v>
      </c>
      <c r="D85" t="s">
        <v>23</v>
      </c>
      <c r="E85" s="17" t="s">
        <v>1082</v>
      </c>
      <c r="F85" t="s">
        <v>28</v>
      </c>
      <c r="G85" t="s">
        <v>549</v>
      </c>
      <c r="H85" t="s">
        <v>94</v>
      </c>
      <c r="I85" t="s">
        <v>38</v>
      </c>
    </row>
    <row r="86" spans="1:22" ht="15" thickBot="1" x14ac:dyDescent="0.25">
      <c r="A86" t="s">
        <v>56</v>
      </c>
      <c r="B86" t="s">
        <v>10</v>
      </c>
      <c r="C86" t="s">
        <v>24</v>
      </c>
      <c r="D86" t="s">
        <v>1078</v>
      </c>
    </row>
    <row r="87" spans="1:22" ht="60" x14ac:dyDescent="0.2">
      <c r="A87" t="s">
        <v>784</v>
      </c>
      <c r="B87" t="s">
        <v>8</v>
      </c>
      <c r="C87" t="s">
        <v>16</v>
      </c>
      <c r="D87" t="s">
        <v>473</v>
      </c>
      <c r="E87" s="17" t="s">
        <v>1082</v>
      </c>
      <c r="F87" t="s">
        <v>557</v>
      </c>
      <c r="G87" t="s">
        <v>25</v>
      </c>
    </row>
    <row r="88" spans="1:22" ht="15" thickBot="1" x14ac:dyDescent="0.25">
      <c r="A88" t="s">
        <v>789</v>
      </c>
      <c r="B88" t="s">
        <v>8</v>
      </c>
      <c r="C88" t="s">
        <v>609</v>
      </c>
      <c r="D88" t="s">
        <v>24</v>
      </c>
      <c r="E88" t="s">
        <v>26</v>
      </c>
    </row>
    <row r="89" spans="1:22" ht="45" x14ac:dyDescent="0.2">
      <c r="A89" t="s">
        <v>791</v>
      </c>
      <c r="B89" t="s">
        <v>8</v>
      </c>
      <c r="C89" t="s">
        <v>609</v>
      </c>
      <c r="D89" s="17" t="s">
        <v>1082</v>
      </c>
    </row>
    <row r="90" spans="1:22" x14ac:dyDescent="0.2">
      <c r="A90" t="s">
        <v>793</v>
      </c>
      <c r="B90" t="s">
        <v>10</v>
      </c>
      <c r="C90" t="s">
        <v>24</v>
      </c>
      <c r="D90" t="s">
        <v>26</v>
      </c>
      <c r="E90" t="s">
        <v>35</v>
      </c>
    </row>
    <row r="91" spans="1:22" ht="15" thickBot="1" x14ac:dyDescent="0.25">
      <c r="A91" t="s">
        <v>872</v>
      </c>
      <c r="B91" t="s">
        <v>403</v>
      </c>
      <c r="C91" t="s">
        <v>39</v>
      </c>
      <c r="D91" t="s">
        <v>903</v>
      </c>
      <c r="E91" t="s">
        <v>919</v>
      </c>
    </row>
    <row r="92" spans="1:22" ht="15.75" thickBot="1" x14ac:dyDescent="0.25">
      <c r="A92" t="s">
        <v>873</v>
      </c>
      <c r="B92" t="s">
        <v>19</v>
      </c>
      <c r="C92" s="17" t="s">
        <v>1082</v>
      </c>
      <c r="D92" t="s">
        <v>557</v>
      </c>
      <c r="E92" t="s">
        <v>25</v>
      </c>
      <c r="F92" t="s">
        <v>26</v>
      </c>
      <c r="G92" t="s">
        <v>38</v>
      </c>
    </row>
    <row r="93" spans="1:22" ht="15" x14ac:dyDescent="0.2">
      <c r="A93" t="s">
        <v>428</v>
      </c>
      <c r="B93" t="s">
        <v>8</v>
      </c>
      <c r="C93" s="17" t="s">
        <v>1082</v>
      </c>
      <c r="D93" t="s">
        <v>26</v>
      </c>
    </row>
    <row r="94" spans="1:22" x14ac:dyDescent="0.2">
      <c r="A94" t="s">
        <v>934</v>
      </c>
      <c r="B94" t="s">
        <v>8</v>
      </c>
      <c r="C94" t="s">
        <v>10</v>
      </c>
      <c r="D94" t="s">
        <v>26</v>
      </c>
    </row>
    <row r="95" spans="1:22" ht="15" thickBot="1" x14ac:dyDescent="0.25">
      <c r="A95" t="s">
        <v>521</v>
      </c>
      <c r="B95" t="s">
        <v>23</v>
      </c>
      <c r="C95" t="s">
        <v>24</v>
      </c>
      <c r="D95" t="s">
        <v>555</v>
      </c>
      <c r="E95" t="s">
        <v>33</v>
      </c>
    </row>
    <row r="96" spans="1:22" ht="60.75" thickBot="1" x14ac:dyDescent="0.25">
      <c r="A96" t="s">
        <v>431</v>
      </c>
      <c r="B96" t="s">
        <v>8</v>
      </c>
      <c r="C96" t="s">
        <v>10</v>
      </c>
      <c r="D96" t="s">
        <v>399</v>
      </c>
      <c r="E96" s="17" t="s">
        <v>1082</v>
      </c>
      <c r="F96" t="s">
        <v>26</v>
      </c>
    </row>
    <row r="97" spans="1:18" ht="60" x14ac:dyDescent="0.2">
      <c r="A97" t="s">
        <v>734</v>
      </c>
      <c r="B97" t="s">
        <v>8</v>
      </c>
      <c r="C97" t="s">
        <v>399</v>
      </c>
      <c r="D97" t="s">
        <v>19</v>
      </c>
      <c r="E97" s="17" t="s">
        <v>1082</v>
      </c>
      <c r="F97" t="s">
        <v>557</v>
      </c>
      <c r="G97" t="s">
        <v>24</v>
      </c>
      <c r="H97" t="s">
        <v>25</v>
      </c>
      <c r="I97" t="s">
        <v>26</v>
      </c>
      <c r="J97" t="s">
        <v>549</v>
      </c>
      <c r="K97" t="s">
        <v>555</v>
      </c>
      <c r="L97" t="s">
        <v>217</v>
      </c>
    </row>
    <row r="98" spans="1:18" x14ac:dyDescent="0.2">
      <c r="A98" t="s">
        <v>45</v>
      </c>
      <c r="B98" t="s">
        <v>8</v>
      </c>
      <c r="C98" t="s">
        <v>10</v>
      </c>
      <c r="D98" t="s">
        <v>24</v>
      </c>
    </row>
    <row r="99" spans="1:18" x14ac:dyDescent="0.2">
      <c r="A99" t="s">
        <v>46</v>
      </c>
      <c r="B99" t="s">
        <v>8</v>
      </c>
      <c r="C99" t="s">
        <v>10</v>
      </c>
      <c r="D99" t="s">
        <v>1078</v>
      </c>
    </row>
    <row r="100" spans="1:18" x14ac:dyDescent="0.2">
      <c r="A100" t="s">
        <v>432</v>
      </c>
      <c r="B100" t="s">
        <v>8</v>
      </c>
      <c r="C100" t="s">
        <v>399</v>
      </c>
      <c r="D100" t="s">
        <v>19</v>
      </c>
      <c r="E100" t="s">
        <v>24</v>
      </c>
      <c r="F100" t="s">
        <v>26</v>
      </c>
      <c r="G100" t="s">
        <v>549</v>
      </c>
      <c r="H100" t="s">
        <v>35</v>
      </c>
    </row>
    <row r="101" spans="1:18" x14ac:dyDescent="0.2">
      <c r="A101" t="s">
        <v>935</v>
      </c>
      <c r="B101" t="s">
        <v>8</v>
      </c>
      <c r="C101" t="s">
        <v>399</v>
      </c>
      <c r="D101" t="s">
        <v>19</v>
      </c>
      <c r="E101" t="s">
        <v>24</v>
      </c>
      <c r="F101" t="s">
        <v>26</v>
      </c>
      <c r="G101" t="s">
        <v>549</v>
      </c>
      <c r="H101" t="s">
        <v>35</v>
      </c>
    </row>
    <row r="102" spans="1:18" x14ac:dyDescent="0.2">
      <c r="A102" t="s">
        <v>739</v>
      </c>
      <c r="B102" t="s">
        <v>557</v>
      </c>
      <c r="C102" t="s">
        <v>93</v>
      </c>
      <c r="D102" t="s">
        <v>26</v>
      </c>
      <c r="E102" t="s">
        <v>555</v>
      </c>
      <c r="F102" t="s">
        <v>276</v>
      </c>
    </row>
    <row r="103" spans="1:18" x14ac:dyDescent="0.2">
      <c r="A103" t="s">
        <v>81</v>
      </c>
      <c r="B103" t="s">
        <v>10</v>
      </c>
      <c r="C103" t="s">
        <v>16</v>
      </c>
      <c r="D103" t="s">
        <v>24</v>
      </c>
      <c r="E103" t="s">
        <v>26</v>
      </c>
      <c r="F103" t="s">
        <v>39</v>
      </c>
      <c r="G103" t="s">
        <v>42</v>
      </c>
      <c r="H103" t="s">
        <v>910</v>
      </c>
    </row>
    <row r="104" spans="1:18" x14ac:dyDescent="0.2">
      <c r="A104" t="s">
        <v>936</v>
      </c>
      <c r="B104" t="s">
        <v>10</v>
      </c>
      <c r="C104" t="s">
        <v>16</v>
      </c>
      <c r="D104" t="s">
        <v>24</v>
      </c>
      <c r="E104" t="s">
        <v>26</v>
      </c>
      <c r="F104" t="s">
        <v>39</v>
      </c>
      <c r="G104" t="s">
        <v>42</v>
      </c>
      <c r="H104" t="s">
        <v>910</v>
      </c>
    </row>
    <row r="105" spans="1:18" x14ac:dyDescent="0.2">
      <c r="A105" t="s">
        <v>744</v>
      </c>
      <c r="B105" t="s">
        <v>271</v>
      </c>
      <c r="C105" t="s">
        <v>13</v>
      </c>
      <c r="D105" t="s">
        <v>549</v>
      </c>
      <c r="E105" t="s">
        <v>555</v>
      </c>
      <c r="F105" t="s">
        <v>912</v>
      </c>
      <c r="G105" t="s">
        <v>913</v>
      </c>
    </row>
    <row r="106" spans="1:18" x14ac:dyDescent="0.2">
      <c r="A106" t="s">
        <v>879</v>
      </c>
      <c r="B106" t="s">
        <v>271</v>
      </c>
      <c r="C106" t="s">
        <v>13</v>
      </c>
      <c r="D106" t="s">
        <v>74</v>
      </c>
      <c r="E106" t="s">
        <v>549</v>
      </c>
      <c r="F106" t="s">
        <v>555</v>
      </c>
      <c r="G106" t="s">
        <v>912</v>
      </c>
    </row>
    <row r="107" spans="1:18" x14ac:dyDescent="0.2">
      <c r="A107" t="s">
        <v>82</v>
      </c>
      <c r="B107" t="s">
        <v>67</v>
      </c>
      <c r="C107" t="s">
        <v>16</v>
      </c>
      <c r="D107" t="s">
        <v>19</v>
      </c>
      <c r="E107" t="s">
        <v>21</v>
      </c>
      <c r="F107" t="s">
        <v>26</v>
      </c>
      <c r="G107" t="s">
        <v>31</v>
      </c>
      <c r="H107" t="s">
        <v>39</v>
      </c>
    </row>
    <row r="108" spans="1:18" x14ac:dyDescent="0.2">
      <c r="A108" t="s">
        <v>83</v>
      </c>
      <c r="B108" t="s">
        <v>67</v>
      </c>
      <c r="C108" t="s">
        <v>71</v>
      </c>
      <c r="D108" t="s">
        <v>16</v>
      </c>
      <c r="E108" t="s">
        <v>915</v>
      </c>
      <c r="F108" t="s">
        <v>19</v>
      </c>
      <c r="G108" t="s">
        <v>21</v>
      </c>
      <c r="H108" t="s">
        <v>31</v>
      </c>
      <c r="I108" t="s">
        <v>35</v>
      </c>
      <c r="J108" t="s">
        <v>39</v>
      </c>
    </row>
    <row r="109" spans="1:18" x14ac:dyDescent="0.2">
      <c r="A109" t="s">
        <v>84</v>
      </c>
      <c r="B109" t="s">
        <v>10</v>
      </c>
      <c r="C109" t="s">
        <v>68</v>
      </c>
      <c r="D109" t="s">
        <v>71</v>
      </c>
      <c r="E109" t="s">
        <v>16</v>
      </c>
      <c r="F109" t="s">
        <v>399</v>
      </c>
      <c r="G109" t="s">
        <v>915</v>
      </c>
      <c r="H109" t="s">
        <v>19</v>
      </c>
      <c r="I109" t="s">
        <v>21</v>
      </c>
      <c r="J109" t="s">
        <v>26</v>
      </c>
      <c r="K109" t="s">
        <v>30</v>
      </c>
      <c r="L109" t="s">
        <v>31</v>
      </c>
      <c r="M109" t="s">
        <v>35</v>
      </c>
      <c r="N109" t="s">
        <v>217</v>
      </c>
      <c r="O109" t="s">
        <v>39</v>
      </c>
      <c r="P109" t="s">
        <v>917</v>
      </c>
      <c r="Q109" t="s">
        <v>918</v>
      </c>
      <c r="R109" t="s">
        <v>924</v>
      </c>
    </row>
    <row r="110" spans="1:18" x14ac:dyDescent="0.2">
      <c r="A110" t="s">
        <v>361</v>
      </c>
      <c r="B110" t="s">
        <v>8</v>
      </c>
      <c r="C110" t="s">
        <v>10</v>
      </c>
      <c r="D110" t="s">
        <v>68</v>
      </c>
      <c r="E110" t="s">
        <v>16</v>
      </c>
      <c r="F110" t="s">
        <v>915</v>
      </c>
      <c r="G110" t="s">
        <v>19</v>
      </c>
      <c r="H110" t="s">
        <v>21</v>
      </c>
      <c r="I110" t="s">
        <v>26</v>
      </c>
      <c r="J110" t="s">
        <v>30</v>
      </c>
      <c r="K110" t="s">
        <v>31</v>
      </c>
      <c r="L110" t="s">
        <v>34</v>
      </c>
      <c r="M110" t="s">
        <v>37</v>
      </c>
      <c r="N110" t="s">
        <v>42</v>
      </c>
      <c r="O110" t="s">
        <v>910</v>
      </c>
      <c r="P110" t="s">
        <v>917</v>
      </c>
      <c r="Q110" t="s">
        <v>276</v>
      </c>
      <c r="R110" t="s">
        <v>924</v>
      </c>
    </row>
    <row r="111" spans="1:18" x14ac:dyDescent="0.2">
      <c r="A111" t="s">
        <v>85</v>
      </c>
      <c r="B111" t="s">
        <v>8</v>
      </c>
      <c r="C111" t="s">
        <v>16</v>
      </c>
      <c r="D111" t="s">
        <v>25</v>
      </c>
      <c r="E111" t="s">
        <v>39</v>
      </c>
    </row>
    <row r="112" spans="1:18" ht="15" thickBot="1" x14ac:dyDescent="0.25">
      <c r="A112" t="s">
        <v>86</v>
      </c>
      <c r="B112" t="s">
        <v>394</v>
      </c>
      <c r="C112" t="s">
        <v>397</v>
      </c>
      <c r="D112" t="s">
        <v>39</v>
      </c>
    </row>
    <row r="113" spans="1:9" ht="15" x14ac:dyDescent="0.2">
      <c r="A113" t="s">
        <v>435</v>
      </c>
      <c r="B113" t="s">
        <v>8</v>
      </c>
      <c r="C113" s="17" t="s">
        <v>1082</v>
      </c>
      <c r="D113" t="s">
        <v>557</v>
      </c>
      <c r="E113" t="s">
        <v>25</v>
      </c>
      <c r="F113" t="s">
        <v>549</v>
      </c>
    </row>
    <row r="114" spans="1:9" x14ac:dyDescent="0.2">
      <c r="A114" t="s">
        <v>51</v>
      </c>
      <c r="B114" t="s">
        <v>8</v>
      </c>
      <c r="C114" t="s">
        <v>65</v>
      </c>
      <c r="D114" t="s">
        <v>11</v>
      </c>
      <c r="E114" t="s">
        <v>25</v>
      </c>
    </row>
    <row r="115" spans="1:9" x14ac:dyDescent="0.2">
      <c r="A115" t="s">
        <v>57</v>
      </c>
      <c r="B115" t="s">
        <v>65</v>
      </c>
      <c r="C115" t="s">
        <v>16</v>
      </c>
      <c r="D115" t="s">
        <v>397</v>
      </c>
      <c r="E115" t="s">
        <v>42</v>
      </c>
    </row>
    <row r="116" spans="1:9" x14ac:dyDescent="0.2">
      <c r="A116" t="s">
        <v>937</v>
      </c>
      <c r="B116" t="s">
        <v>65</v>
      </c>
      <c r="C116" t="s">
        <v>16</v>
      </c>
      <c r="D116" t="s">
        <v>397</v>
      </c>
      <c r="E116" t="s">
        <v>42</v>
      </c>
    </row>
    <row r="117" spans="1:9" ht="15" thickBot="1" x14ac:dyDescent="0.25">
      <c r="A117" t="s">
        <v>414</v>
      </c>
      <c r="B117" t="s">
        <v>11</v>
      </c>
      <c r="C117" t="s">
        <v>397</v>
      </c>
      <c r="D117" t="s">
        <v>39</v>
      </c>
    </row>
    <row r="118" spans="1:9" ht="45" x14ac:dyDescent="0.2">
      <c r="A118" t="s">
        <v>355</v>
      </c>
      <c r="B118" t="s">
        <v>10</v>
      </c>
      <c r="C118" t="s">
        <v>399</v>
      </c>
      <c r="D118" s="17" t="s">
        <v>1082</v>
      </c>
      <c r="E118" t="s">
        <v>24</v>
      </c>
      <c r="F118" t="s">
        <v>26</v>
      </c>
      <c r="G118" t="s">
        <v>555</v>
      </c>
      <c r="H118" t="s">
        <v>33</v>
      </c>
      <c r="I118" t="s">
        <v>556</v>
      </c>
    </row>
    <row r="119" spans="1:9" x14ac:dyDescent="0.2">
      <c r="A119" t="s">
        <v>356</v>
      </c>
      <c r="B119" t="s">
        <v>8</v>
      </c>
      <c r="C119" t="s">
        <v>93</v>
      </c>
      <c r="D119" t="s">
        <v>25</v>
      </c>
      <c r="E119" t="s">
        <v>30</v>
      </c>
      <c r="F119" t="s">
        <v>555</v>
      </c>
      <c r="G119" t="s">
        <v>1078</v>
      </c>
      <c r="H119" t="s">
        <v>928</v>
      </c>
    </row>
    <row r="120" spans="1:9" ht="15" thickBot="1" x14ac:dyDescent="0.25">
      <c r="A120" t="s">
        <v>723</v>
      </c>
      <c r="B120" t="s">
        <v>10</v>
      </c>
      <c r="C120" t="s">
        <v>16</v>
      </c>
      <c r="D120" t="s">
        <v>399</v>
      </c>
      <c r="E120" t="s">
        <v>23</v>
      </c>
      <c r="F120" t="s">
        <v>24</v>
      </c>
      <c r="G120" t="s">
        <v>26</v>
      </c>
      <c r="H120" t="s">
        <v>35</v>
      </c>
    </row>
    <row r="121" spans="1:9" ht="60.75" thickBot="1" x14ac:dyDescent="0.25">
      <c r="A121" t="s">
        <v>724</v>
      </c>
      <c r="B121" t="s">
        <v>8</v>
      </c>
      <c r="C121" t="s">
        <v>10</v>
      </c>
      <c r="D121" t="s">
        <v>399</v>
      </c>
      <c r="E121" s="17" t="s">
        <v>1082</v>
      </c>
      <c r="F121" t="s">
        <v>26</v>
      </c>
      <c r="G121" t="s">
        <v>35</v>
      </c>
    </row>
    <row r="122" spans="1:9" ht="15" x14ac:dyDescent="0.2">
      <c r="A122" t="s">
        <v>725</v>
      </c>
      <c r="B122" t="s">
        <v>8</v>
      </c>
      <c r="C122" s="17" t="s">
        <v>1082</v>
      </c>
      <c r="D122" t="s">
        <v>93</v>
      </c>
      <c r="E122" t="s">
        <v>26</v>
      </c>
      <c r="F122" t="s">
        <v>1078</v>
      </c>
    </row>
    <row r="123" spans="1:9" ht="15" thickBot="1" x14ac:dyDescent="0.25">
      <c r="A123" t="s">
        <v>726</v>
      </c>
      <c r="B123" t="s">
        <v>10</v>
      </c>
      <c r="C123" t="s">
        <v>399</v>
      </c>
      <c r="D123" t="s">
        <v>19</v>
      </c>
      <c r="E123" t="s">
        <v>24</v>
      </c>
      <c r="F123" t="s">
        <v>26</v>
      </c>
    </row>
    <row r="124" spans="1:9" ht="45.75" thickBot="1" x14ac:dyDescent="0.25">
      <c r="A124" t="s">
        <v>727</v>
      </c>
      <c r="B124" t="s">
        <v>8</v>
      </c>
      <c r="C124" t="s">
        <v>16</v>
      </c>
      <c r="D124" s="17" t="s">
        <v>1082</v>
      </c>
      <c r="E124" t="s">
        <v>24</v>
      </c>
      <c r="F124" t="s">
        <v>26</v>
      </c>
    </row>
    <row r="125" spans="1:9" ht="60.75" thickBot="1" x14ac:dyDescent="0.25">
      <c r="A125" t="s">
        <v>424</v>
      </c>
      <c r="B125" t="s">
        <v>10</v>
      </c>
      <c r="C125" t="s">
        <v>399</v>
      </c>
      <c r="D125" t="s">
        <v>23</v>
      </c>
      <c r="E125" s="17" t="s">
        <v>1082</v>
      </c>
      <c r="F125" t="s">
        <v>24</v>
      </c>
      <c r="G125" t="s">
        <v>26</v>
      </c>
    </row>
    <row r="126" spans="1:9" ht="60.75" thickBot="1" x14ac:dyDescent="0.25">
      <c r="A126" t="s">
        <v>729</v>
      </c>
      <c r="B126" t="s">
        <v>8</v>
      </c>
      <c r="C126" t="s">
        <v>16</v>
      </c>
      <c r="D126" t="s">
        <v>399</v>
      </c>
      <c r="E126" t="s">
        <v>609</v>
      </c>
      <c r="F126" s="17" t="s">
        <v>1082</v>
      </c>
      <c r="G126" t="s">
        <v>24</v>
      </c>
    </row>
    <row r="127" spans="1:9" ht="45.75" thickBot="1" x14ac:dyDescent="0.25">
      <c r="A127" t="s">
        <v>425</v>
      </c>
      <c r="B127" t="s">
        <v>8</v>
      </c>
      <c r="C127" t="s">
        <v>16</v>
      </c>
      <c r="D127" s="17" t="s">
        <v>1082</v>
      </c>
      <c r="E127" t="s">
        <v>557</v>
      </c>
    </row>
    <row r="128" spans="1:9" ht="60" x14ac:dyDescent="0.2">
      <c r="A128" t="s">
        <v>706</v>
      </c>
      <c r="B128" t="s">
        <v>63</v>
      </c>
      <c r="C128" t="s">
        <v>8</v>
      </c>
      <c r="D128" t="s">
        <v>13</v>
      </c>
      <c r="E128" t="s">
        <v>70</v>
      </c>
      <c r="F128" s="17" t="s">
        <v>1082</v>
      </c>
      <c r="G128" t="s">
        <v>557</v>
      </c>
      <c r="H128" t="s">
        <v>549</v>
      </c>
    </row>
    <row r="129" spans="1:18" ht="15" thickBot="1" x14ac:dyDescent="0.25">
      <c r="A129" t="s">
        <v>506</v>
      </c>
      <c r="B129" t="s">
        <v>63</v>
      </c>
      <c r="C129" t="s">
        <v>15</v>
      </c>
      <c r="D129" t="s">
        <v>16</v>
      </c>
      <c r="E129" t="s">
        <v>19</v>
      </c>
      <c r="F129" t="s">
        <v>23</v>
      </c>
      <c r="G129" t="s">
        <v>557</v>
      </c>
      <c r="H129" t="s">
        <v>555</v>
      </c>
      <c r="I129" t="s">
        <v>42</v>
      </c>
      <c r="J129" t="s">
        <v>920</v>
      </c>
    </row>
    <row r="130" spans="1:18" ht="15.75" thickBot="1" x14ac:dyDescent="0.25">
      <c r="A130" t="s">
        <v>511</v>
      </c>
      <c r="B130" t="s">
        <v>70</v>
      </c>
      <c r="C130" s="17" t="s">
        <v>1082</v>
      </c>
      <c r="D130" t="s">
        <v>557</v>
      </c>
      <c r="E130" t="s">
        <v>26</v>
      </c>
      <c r="F130" t="s">
        <v>555</v>
      </c>
      <c r="G130" t="s">
        <v>217</v>
      </c>
    </row>
    <row r="131" spans="1:18" ht="60.75" thickBot="1" x14ac:dyDescent="0.25">
      <c r="A131" t="s">
        <v>709</v>
      </c>
      <c r="B131" t="s">
        <v>10</v>
      </c>
      <c r="C131" t="s">
        <v>19</v>
      </c>
      <c r="D131" t="s">
        <v>23</v>
      </c>
      <c r="E131" s="17" t="s">
        <v>1082</v>
      </c>
      <c r="F131" t="s">
        <v>557</v>
      </c>
      <c r="G131" t="s">
        <v>26</v>
      </c>
      <c r="H131" t="s">
        <v>555</v>
      </c>
      <c r="I131" t="s">
        <v>35</v>
      </c>
      <c r="J131" t="s">
        <v>217</v>
      </c>
    </row>
    <row r="132" spans="1:18" ht="60.75" thickBot="1" x14ac:dyDescent="0.25">
      <c r="A132" t="s">
        <v>349</v>
      </c>
      <c r="B132" t="s">
        <v>63</v>
      </c>
      <c r="C132" t="s">
        <v>8</v>
      </c>
      <c r="D132" t="s">
        <v>13</v>
      </c>
      <c r="E132" t="s">
        <v>70</v>
      </c>
      <c r="F132" t="s">
        <v>19</v>
      </c>
      <c r="G132" t="s">
        <v>23</v>
      </c>
      <c r="H132" s="17" t="s">
        <v>1082</v>
      </c>
      <c r="I132" t="s">
        <v>557</v>
      </c>
      <c r="J132" t="s">
        <v>26</v>
      </c>
      <c r="K132" t="s">
        <v>549</v>
      </c>
      <c r="L132" t="s">
        <v>555</v>
      </c>
      <c r="M132" t="s">
        <v>217</v>
      </c>
    </row>
    <row r="133" spans="1:18" ht="90.75" thickBot="1" x14ac:dyDescent="0.25">
      <c r="A133" t="s">
        <v>507</v>
      </c>
      <c r="B133" t="s">
        <v>63</v>
      </c>
      <c r="C133" t="s">
        <v>8</v>
      </c>
      <c r="D133" t="s">
        <v>13</v>
      </c>
      <c r="E133" t="s">
        <v>16</v>
      </c>
      <c r="F133" t="s">
        <v>23</v>
      </c>
      <c r="G133" s="17" t="s">
        <v>1082</v>
      </c>
      <c r="H133" t="s">
        <v>557</v>
      </c>
      <c r="I133" t="s">
        <v>25</v>
      </c>
      <c r="J133" t="s">
        <v>26</v>
      </c>
      <c r="K133" t="s">
        <v>31</v>
      </c>
      <c r="L133" t="s">
        <v>549</v>
      </c>
      <c r="M133" t="s">
        <v>34</v>
      </c>
      <c r="N133" t="s">
        <v>217</v>
      </c>
      <c r="O133" t="s">
        <v>38</v>
      </c>
      <c r="P133" t="s">
        <v>39</v>
      </c>
      <c r="Q133" t="s">
        <v>42</v>
      </c>
      <c r="R133" t="s">
        <v>960</v>
      </c>
    </row>
    <row r="134" spans="1:18" ht="60.75" thickBot="1" x14ac:dyDescent="0.25">
      <c r="A134" t="s">
        <v>350</v>
      </c>
      <c r="B134" t="s">
        <v>63</v>
      </c>
      <c r="C134" t="s">
        <v>8</v>
      </c>
      <c r="D134" t="s">
        <v>13</v>
      </c>
      <c r="E134" t="s">
        <v>23</v>
      </c>
      <c r="F134" s="17" t="s">
        <v>1082</v>
      </c>
      <c r="G134" t="s">
        <v>557</v>
      </c>
      <c r="H134" t="s">
        <v>26</v>
      </c>
      <c r="I134" t="s">
        <v>549</v>
      </c>
      <c r="J134" t="s">
        <v>555</v>
      </c>
      <c r="K134" t="s">
        <v>960</v>
      </c>
    </row>
    <row r="135" spans="1:18" ht="60.75" thickBot="1" x14ac:dyDescent="0.25">
      <c r="A135" t="s">
        <v>508</v>
      </c>
      <c r="B135" t="s">
        <v>8</v>
      </c>
      <c r="C135" t="s">
        <v>906</v>
      </c>
      <c r="D135" t="s">
        <v>13</v>
      </c>
      <c r="E135" s="17" t="s">
        <v>1082</v>
      </c>
      <c r="F135" t="s">
        <v>557</v>
      </c>
      <c r="G135" t="s">
        <v>26</v>
      </c>
      <c r="H135" t="s">
        <v>549</v>
      </c>
      <c r="I135" t="s">
        <v>555</v>
      </c>
      <c r="J135" t="s">
        <v>960</v>
      </c>
    </row>
    <row r="136" spans="1:18" ht="45.75" thickBot="1" x14ac:dyDescent="0.25">
      <c r="A136" t="s">
        <v>712</v>
      </c>
      <c r="B136" t="s">
        <v>8</v>
      </c>
      <c r="C136" t="s">
        <v>13</v>
      </c>
      <c r="D136" s="17" t="s">
        <v>1082</v>
      </c>
      <c r="E136" t="s">
        <v>557</v>
      </c>
      <c r="F136" t="s">
        <v>25</v>
      </c>
      <c r="G136" t="s">
        <v>549</v>
      </c>
      <c r="H136" t="s">
        <v>555</v>
      </c>
      <c r="I136" t="s">
        <v>960</v>
      </c>
    </row>
    <row r="137" spans="1:18" ht="60" x14ac:dyDescent="0.2">
      <c r="A137" t="s">
        <v>512</v>
      </c>
      <c r="B137" t="s">
        <v>8</v>
      </c>
      <c r="C137" t="s">
        <v>906</v>
      </c>
      <c r="D137" t="s">
        <v>13</v>
      </c>
      <c r="E137" s="17" t="s">
        <v>1082</v>
      </c>
      <c r="F137" t="s">
        <v>557</v>
      </c>
      <c r="G137" t="s">
        <v>25</v>
      </c>
      <c r="H137" t="s">
        <v>549</v>
      </c>
      <c r="I137" t="s">
        <v>555</v>
      </c>
      <c r="J137" t="s">
        <v>960</v>
      </c>
    </row>
    <row r="138" spans="1:18" ht="15" thickBot="1" x14ac:dyDescent="0.25">
      <c r="A138" t="s">
        <v>509</v>
      </c>
      <c r="B138" t="s">
        <v>8</v>
      </c>
      <c r="C138" t="s">
        <v>13</v>
      </c>
      <c r="D138" t="s">
        <v>1089</v>
      </c>
      <c r="E138" t="s">
        <v>557</v>
      </c>
      <c r="F138" t="s">
        <v>26</v>
      </c>
      <c r="G138" t="s">
        <v>549</v>
      </c>
      <c r="H138" t="s">
        <v>217</v>
      </c>
      <c r="I138" t="s">
        <v>38</v>
      </c>
      <c r="J138" t="s">
        <v>960</v>
      </c>
    </row>
    <row r="139" spans="1:18" ht="60" x14ac:dyDescent="0.2">
      <c r="A139" t="s">
        <v>714</v>
      </c>
      <c r="B139" t="s">
        <v>8</v>
      </c>
      <c r="C139" t="s">
        <v>906</v>
      </c>
      <c r="D139" t="s">
        <v>13</v>
      </c>
      <c r="E139" s="17" t="s">
        <v>1082</v>
      </c>
      <c r="F139" t="s">
        <v>24</v>
      </c>
      <c r="G139" t="s">
        <v>25</v>
      </c>
      <c r="H139" t="s">
        <v>549</v>
      </c>
    </row>
    <row r="140" spans="1:18" x14ac:dyDescent="0.2">
      <c r="A140" t="s">
        <v>716</v>
      </c>
      <c r="B140" t="s">
        <v>65</v>
      </c>
      <c r="C140" t="s">
        <v>16</v>
      </c>
      <c r="D140" t="s">
        <v>397</v>
      </c>
      <c r="E140" t="s">
        <v>31</v>
      </c>
      <c r="F140" t="s">
        <v>34</v>
      </c>
      <c r="G140" t="s">
        <v>42</v>
      </c>
    </row>
    <row r="141" spans="1:18" x14ac:dyDescent="0.2">
      <c r="A141" t="s">
        <v>929</v>
      </c>
      <c r="B141" t="s">
        <v>10</v>
      </c>
      <c r="C141" t="s">
        <v>19</v>
      </c>
      <c r="D141" t="s">
        <v>557</v>
      </c>
      <c r="E141" t="s">
        <v>24</v>
      </c>
      <c r="F141" t="s">
        <v>26</v>
      </c>
      <c r="G141" t="s">
        <v>555</v>
      </c>
      <c r="H141" t="s">
        <v>35</v>
      </c>
      <c r="I141" t="s">
        <v>217</v>
      </c>
      <c r="J141" t="s">
        <v>38</v>
      </c>
    </row>
    <row r="142" spans="1:18" x14ac:dyDescent="0.2">
      <c r="A142" t="s">
        <v>930</v>
      </c>
      <c r="B142" t="s">
        <v>557</v>
      </c>
      <c r="C142" t="s">
        <v>26</v>
      </c>
      <c r="D142" t="s">
        <v>555</v>
      </c>
      <c r="E142" t="s">
        <v>217</v>
      </c>
      <c r="F142" t="s">
        <v>38</v>
      </c>
    </row>
    <row r="143" spans="1:18" x14ac:dyDescent="0.2">
      <c r="A143" t="s">
        <v>931</v>
      </c>
      <c r="B143" t="s">
        <v>8</v>
      </c>
      <c r="C143" t="s">
        <v>906</v>
      </c>
      <c r="D143" t="s">
        <v>13</v>
      </c>
      <c r="E143" t="s">
        <v>26</v>
      </c>
      <c r="F143" t="s">
        <v>549</v>
      </c>
      <c r="G143" t="s">
        <v>555</v>
      </c>
      <c r="H143" t="s">
        <v>960</v>
      </c>
    </row>
    <row r="144" spans="1:18" ht="15" thickBot="1" x14ac:dyDescent="0.25">
      <c r="A144" t="s">
        <v>932</v>
      </c>
      <c r="B144" t="s">
        <v>8</v>
      </c>
      <c r="C144" t="s">
        <v>906</v>
      </c>
      <c r="D144" t="s">
        <v>13</v>
      </c>
      <c r="E144" t="s">
        <v>557</v>
      </c>
      <c r="F144" t="s">
        <v>24</v>
      </c>
      <c r="G144" t="s">
        <v>549</v>
      </c>
      <c r="H144" t="s">
        <v>555</v>
      </c>
      <c r="I144" t="s">
        <v>217</v>
      </c>
      <c r="J144" t="s">
        <v>960</v>
      </c>
    </row>
    <row r="145" spans="1:10" ht="45.75" thickBot="1" x14ac:dyDescent="0.25">
      <c r="A145" t="s">
        <v>500</v>
      </c>
      <c r="B145" t="s">
        <v>10</v>
      </c>
      <c r="C145" t="s">
        <v>399</v>
      </c>
      <c r="D145" s="17" t="s">
        <v>1082</v>
      </c>
      <c r="E145" t="s">
        <v>24</v>
      </c>
      <c r="F145" t="s">
        <v>26</v>
      </c>
      <c r="G145" t="s">
        <v>549</v>
      </c>
      <c r="H145" t="s">
        <v>555</v>
      </c>
    </row>
    <row r="146" spans="1:10" ht="60.75" thickBot="1" x14ac:dyDescent="0.25">
      <c r="A146" t="s">
        <v>502</v>
      </c>
      <c r="B146" t="s">
        <v>10</v>
      </c>
      <c r="C146" t="s">
        <v>399</v>
      </c>
      <c r="D146" t="s">
        <v>473</v>
      </c>
      <c r="E146" s="17" t="s">
        <v>1082</v>
      </c>
      <c r="F146" t="s">
        <v>24</v>
      </c>
      <c r="G146" t="s">
        <v>26</v>
      </c>
      <c r="H146" t="s">
        <v>549</v>
      </c>
    </row>
    <row r="147" spans="1:10" ht="60" x14ac:dyDescent="0.2">
      <c r="A147" t="s">
        <v>963</v>
      </c>
      <c r="B147" t="s">
        <v>8</v>
      </c>
      <c r="C147" t="s">
        <v>399</v>
      </c>
      <c r="D147" t="s">
        <v>23</v>
      </c>
      <c r="E147" s="17" t="s">
        <v>1082</v>
      </c>
      <c r="F147" t="s">
        <v>26</v>
      </c>
      <c r="G147" t="s">
        <v>549</v>
      </c>
      <c r="H147" t="s">
        <v>35</v>
      </c>
    </row>
    <row r="148" spans="1:10" ht="15" thickBot="1" x14ac:dyDescent="0.25">
      <c r="A148" t="s">
        <v>964</v>
      </c>
      <c r="B148" t="s">
        <v>8</v>
      </c>
      <c r="C148" t="s">
        <v>16</v>
      </c>
      <c r="D148" t="s">
        <v>399</v>
      </c>
      <c r="E148" t="s">
        <v>556</v>
      </c>
    </row>
    <row r="149" spans="1:10" ht="45" x14ac:dyDescent="0.2">
      <c r="A149" t="s">
        <v>965</v>
      </c>
      <c r="B149" t="s">
        <v>8</v>
      </c>
      <c r="C149" t="s">
        <v>10</v>
      </c>
      <c r="D149" s="17" t="s">
        <v>1082</v>
      </c>
      <c r="E149" t="s">
        <v>26</v>
      </c>
      <c r="F149" t="s">
        <v>549</v>
      </c>
    </row>
    <row r="150" spans="1:10" x14ac:dyDescent="0.2">
      <c r="A150" t="s">
        <v>966</v>
      </c>
      <c r="B150" t="s">
        <v>8</v>
      </c>
      <c r="C150" t="s">
        <v>10</v>
      </c>
      <c r="D150" t="s">
        <v>399</v>
      </c>
      <c r="E150" t="s">
        <v>23</v>
      </c>
      <c r="F150" t="s">
        <v>24</v>
      </c>
      <c r="G150" t="s">
        <v>25</v>
      </c>
      <c r="H150" t="s">
        <v>26</v>
      </c>
      <c r="I150" t="s">
        <v>549</v>
      </c>
      <c r="J150" t="s">
        <v>35</v>
      </c>
    </row>
    <row r="151" spans="1:10" ht="15" thickBot="1" x14ac:dyDescent="0.25">
      <c r="A151" t="s">
        <v>967</v>
      </c>
      <c r="B151" t="s">
        <v>63</v>
      </c>
      <c r="C151" t="s">
        <v>8</v>
      </c>
      <c r="D151" t="s">
        <v>23</v>
      </c>
      <c r="E151" t="s">
        <v>25</v>
      </c>
    </row>
    <row r="152" spans="1:10" ht="15.75" thickBot="1" x14ac:dyDescent="0.25">
      <c r="A152" t="s">
        <v>972</v>
      </c>
      <c r="B152" t="s">
        <v>16</v>
      </c>
      <c r="C152" s="17" t="s">
        <v>1082</v>
      </c>
      <c r="D152" t="s">
        <v>557</v>
      </c>
      <c r="E152" t="s">
        <v>26</v>
      </c>
      <c r="F152" t="s">
        <v>403</v>
      </c>
      <c r="G152" t="s">
        <v>556</v>
      </c>
      <c r="H152" t="s">
        <v>42</v>
      </c>
    </row>
    <row r="153" spans="1:10" ht="15" x14ac:dyDescent="0.2">
      <c r="A153" t="s">
        <v>968</v>
      </c>
      <c r="B153" t="s">
        <v>8</v>
      </c>
      <c r="C153" s="17" t="s">
        <v>1082</v>
      </c>
      <c r="D153" t="s">
        <v>35</v>
      </c>
    </row>
    <row r="154" spans="1:10" x14ac:dyDescent="0.2">
      <c r="A154" t="s">
        <v>970</v>
      </c>
      <c r="B154" t="s">
        <v>10</v>
      </c>
      <c r="C154" t="s">
        <v>399</v>
      </c>
      <c r="D154" t="s">
        <v>37</v>
      </c>
    </row>
    <row r="155" spans="1:10" x14ac:dyDescent="0.2">
      <c r="A155" t="s">
        <v>969</v>
      </c>
      <c r="B155" t="s">
        <v>16</v>
      </c>
      <c r="C155" t="s">
        <v>23</v>
      </c>
      <c r="D155" t="s">
        <v>24</v>
      </c>
      <c r="E155" t="s">
        <v>26</v>
      </c>
      <c r="F155" t="s">
        <v>549</v>
      </c>
      <c r="G155" t="s">
        <v>217</v>
      </c>
    </row>
  </sheetData>
  <sheetProtection algorithmName="SHA-512" hashValue="7zdinfeXrEP6AuVnh/ARaCBYQoHL/dnwVHgw/rV4oPK4RFx8Az0FKTtAir2TNo5hxwwM1rPuKCzph3ik9eyfGw==" saltValue="8ty9nvmOnOhTJ8I6iReXtg==" spinCount="100000" sheet="1" objects="1" scenarios="1"/>
  <pageMargins left="0.7" right="0.7" top="0.78740157499999996" bottom="0.78740157499999996"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249977111117893"/>
    <pageSetUpPr fitToPage="1"/>
  </sheetPr>
  <dimension ref="A1:N130"/>
  <sheetViews>
    <sheetView showGridLines="0" showZeros="0" zoomScale="80" zoomScaleNormal="80" zoomScaleSheetLayoutView="100" workbookViewId="0">
      <pane ySplit="3" topLeftCell="A4" activePane="bottomLeft" state="frozen"/>
      <selection pane="bottomLeft" activeCell="A2" sqref="A2"/>
    </sheetView>
  </sheetViews>
  <sheetFormatPr baseColWidth="10" defaultRowHeight="15" x14ac:dyDescent="0.25"/>
  <cols>
    <col min="1" max="1" width="49" customWidth="1"/>
    <col min="2" max="2" width="27.875" style="35" customWidth="1"/>
    <col min="3" max="3" width="20.875" customWidth="1"/>
    <col min="4" max="4" width="20.125" customWidth="1"/>
    <col min="5" max="5" width="14.625" customWidth="1"/>
    <col min="7" max="7" width="14.25" customWidth="1"/>
    <col min="9" max="9" width="21.25" customWidth="1"/>
    <col min="10" max="10" width="11.5" customWidth="1"/>
    <col min="11" max="11" width="11.75" customWidth="1"/>
    <col min="12" max="12" width="17.375" customWidth="1"/>
    <col min="13" max="13" width="18.75" customWidth="1"/>
    <col min="14" max="14" width="18.25" bestFit="1" customWidth="1"/>
  </cols>
  <sheetData>
    <row r="1" spans="1:14" ht="143.25" customHeight="1" thickBot="1" x14ac:dyDescent="0.25">
      <c r="A1" s="54" t="s">
        <v>552</v>
      </c>
      <c r="B1" s="1" t="s">
        <v>553</v>
      </c>
      <c r="C1" s="2" t="s">
        <v>1075</v>
      </c>
      <c r="D1" s="3"/>
      <c r="E1" s="510" t="s">
        <v>0</v>
      </c>
      <c r="F1" s="511"/>
      <c r="G1" s="511"/>
      <c r="H1" s="511"/>
      <c r="I1" s="125" t="str">
        <f>IF(OR($I$2="",$I$2=0),"bitte geben Sie HIER die
Begrünungsfläche in ha an","Fläche in ha")</f>
        <v>bitte geben Sie HIER die
Begrünungsfläche in ha an</v>
      </c>
      <c r="J1" s="4" t="s">
        <v>284</v>
      </c>
      <c r="K1" s="4" t="s">
        <v>458</v>
      </c>
      <c r="L1" s="5" t="s">
        <v>285</v>
      </c>
      <c r="M1" s="512" t="s">
        <v>297</v>
      </c>
      <c r="N1" s="513"/>
    </row>
    <row r="2" spans="1:14" ht="46.5" customHeight="1" thickTop="1" thickBot="1" x14ac:dyDescent="0.25">
      <c r="A2" s="330" t="s">
        <v>840</v>
      </c>
      <c r="B2" s="304" t="s">
        <v>2</v>
      </c>
      <c r="C2" s="304" t="s">
        <v>835</v>
      </c>
      <c r="D2" s="305" t="s">
        <v>4</v>
      </c>
      <c r="E2" s="308" t="s">
        <v>5</v>
      </c>
      <c r="F2" s="306" t="s">
        <v>1</v>
      </c>
      <c r="G2" s="303" t="s">
        <v>288</v>
      </c>
      <c r="H2" s="307" t="s">
        <v>6</v>
      </c>
      <c r="I2" s="327"/>
      <c r="J2" s="347">
        <f>ROUND(SUM(E4:E66),2)</f>
        <v>0</v>
      </c>
      <c r="K2" s="12">
        <f>ROUND(SUM(F4:F66),1)</f>
        <v>0</v>
      </c>
      <c r="L2" s="13">
        <f>SUM(G4:G66)</f>
        <v>0</v>
      </c>
      <c r="M2" s="514"/>
      <c r="N2" s="515"/>
    </row>
    <row r="3" spans="1:14" ht="46.5" customHeight="1" thickTop="1" thickBot="1" x14ac:dyDescent="0.25">
      <c r="A3" s="312" t="s">
        <v>7</v>
      </c>
      <c r="B3" s="186"/>
      <c r="C3" s="186"/>
      <c r="D3" s="186"/>
      <c r="E3" s="189" t="s">
        <v>375</v>
      </c>
      <c r="F3" s="186"/>
      <c r="G3" s="186"/>
      <c r="H3" s="187"/>
      <c r="I3" s="210" t="s">
        <v>312</v>
      </c>
      <c r="J3" s="516" t="s">
        <v>466</v>
      </c>
      <c r="K3" s="517"/>
      <c r="L3" s="346" t="str">
        <f>IF('Zusammenfassung int. Prod.'!H4=0,"0 %",'Zusammenfassung int. Prod.'!H4)</f>
        <v/>
      </c>
      <c r="M3" s="530" t="str">
        <f>IF(AND(L3&gt;0.6,L3&lt;&gt;"0 %",J2&gt;0),"ACHTUNG Vorfruchtwirkung beachten: 
ungenutzte ZWF &gt; 60 % Leg.: 20 kg N
genutzte ZWF &gt; 60% Leg.: 10 kg N","")</f>
        <v/>
      </c>
      <c r="N3" s="531"/>
    </row>
    <row r="4" spans="1:14" ht="21.75" customHeight="1" thickBot="1" x14ac:dyDescent="0.25">
      <c r="A4" s="14" t="s">
        <v>63</v>
      </c>
      <c r="B4" s="55">
        <v>4.54</v>
      </c>
      <c r="C4" s="56">
        <v>15</v>
      </c>
      <c r="D4" s="15">
        <f t="shared" ref="D4:D59" si="0">IF(ISERROR(C4*B4),0,C4*B4)</f>
        <v>68.099999999999994</v>
      </c>
      <c r="E4" s="69"/>
      <c r="F4" s="60">
        <f t="shared" ref="F4" si="1">IF(ISERROR(E4*B4),0,(E4*B4))</f>
        <v>0</v>
      </c>
      <c r="G4" s="61">
        <f t="shared" ref="G4" si="2">IF(ISERROR(E4/C4),0,(E4/C4))</f>
        <v>0</v>
      </c>
      <c r="H4" s="348">
        <f>IF(ISERROR(ROUND($I$2*E4,1)),0,ROUND($I$2*E4,1))</f>
        <v>0</v>
      </c>
      <c r="I4" s="331" t="s">
        <v>120</v>
      </c>
      <c r="J4" s="518" t="s">
        <v>546</v>
      </c>
      <c r="K4" s="519"/>
      <c r="L4" s="520"/>
    </row>
    <row r="5" spans="1:14" ht="21.75" customHeight="1" thickBot="1" x14ac:dyDescent="0.25">
      <c r="A5" s="14" t="s">
        <v>271</v>
      </c>
      <c r="B5" s="55">
        <v>1.5</v>
      </c>
      <c r="C5" s="56">
        <v>60</v>
      </c>
      <c r="D5" s="15">
        <f t="shared" si="0"/>
        <v>90</v>
      </c>
      <c r="E5" s="69"/>
      <c r="F5" s="60">
        <f t="shared" ref="F5:F59" si="3">IF(ISERROR(E5*B5),0,(E5*B5))</f>
        <v>0</v>
      </c>
      <c r="G5" s="61">
        <f t="shared" ref="G5:G59" si="4">IF(ISERROR(E5/C5),0,(E5/C5))</f>
        <v>0</v>
      </c>
      <c r="H5" s="348">
        <f t="shared" ref="H5:H59" si="5">IF(ISERROR(ROUND($I$2*E5,1)),0,ROUND($I$2*E5,1))</f>
        <v>0</v>
      </c>
      <c r="I5" s="331" t="s">
        <v>317</v>
      </c>
      <c r="J5" s="521"/>
      <c r="K5" s="522"/>
      <c r="L5" s="523"/>
    </row>
    <row r="6" spans="1:14" ht="21.75" customHeight="1" thickBot="1" x14ac:dyDescent="0.25">
      <c r="A6" s="14" t="s">
        <v>8</v>
      </c>
      <c r="B6" s="55">
        <v>4.6999999999999993</v>
      </c>
      <c r="C6" s="56">
        <v>25</v>
      </c>
      <c r="D6" s="15">
        <f t="shared" si="0"/>
        <v>117.49999999999999</v>
      </c>
      <c r="E6" s="64"/>
      <c r="F6" s="60">
        <f t="shared" si="3"/>
        <v>0</v>
      </c>
      <c r="G6" s="61">
        <f t="shared" si="4"/>
        <v>0</v>
      </c>
      <c r="H6" s="348">
        <f t="shared" si="5"/>
        <v>0</v>
      </c>
      <c r="I6" s="331" t="s">
        <v>317</v>
      </c>
      <c r="J6" s="494" t="str">
        <f>IF(L6="","Wirtschaftsdüngerart auswählen ►","genutzte Wirtschaftsdüngerart:")</f>
        <v>Wirtschaftsdüngerart auswählen ►</v>
      </c>
      <c r="K6" s="495"/>
      <c r="L6" s="498"/>
    </row>
    <row r="7" spans="1:14" ht="21.75" customHeight="1" thickBot="1" x14ac:dyDescent="0.25">
      <c r="A7" s="45" t="s">
        <v>65</v>
      </c>
      <c r="B7" s="55">
        <v>3.08</v>
      </c>
      <c r="C7" s="56">
        <v>25</v>
      </c>
      <c r="D7" s="15">
        <f t="shared" si="0"/>
        <v>77</v>
      </c>
      <c r="E7" s="64"/>
      <c r="F7" s="60">
        <f t="shared" si="3"/>
        <v>0</v>
      </c>
      <c r="G7" s="61">
        <f t="shared" si="4"/>
        <v>0</v>
      </c>
      <c r="H7" s="348">
        <f t="shared" si="5"/>
        <v>0</v>
      </c>
      <c r="I7" s="331" t="s">
        <v>162</v>
      </c>
      <c r="J7" s="496"/>
      <c r="K7" s="497"/>
      <c r="L7" s="499"/>
    </row>
    <row r="8" spans="1:14" ht="21.75" customHeight="1" thickBot="1" x14ac:dyDescent="0.25">
      <c r="A8" s="45" t="s">
        <v>906</v>
      </c>
      <c r="B8" s="55">
        <v>1.45</v>
      </c>
      <c r="C8" s="56">
        <v>170</v>
      </c>
      <c r="D8" s="15">
        <f t="shared" si="0"/>
        <v>246.5</v>
      </c>
      <c r="E8" s="64"/>
      <c r="F8" s="60">
        <f t="shared" si="3"/>
        <v>0</v>
      </c>
      <c r="G8" s="61">
        <f t="shared" si="4"/>
        <v>0</v>
      </c>
      <c r="H8" s="348">
        <f t="shared" si="5"/>
        <v>0</v>
      </c>
      <c r="I8" s="331" t="s">
        <v>317</v>
      </c>
      <c r="J8" s="500" t="s">
        <v>1074</v>
      </c>
      <c r="K8" s="501"/>
      <c r="L8" s="504" t="str">
        <f>IF(L6="",CONCATENATE('Konventionell (2)'!T13," kg N ab Lager"),CONCATENATE('Konventionell (2)'!T13," kg N ab Lager 
(",'Konventionell (2)'!U13," kg N jw)",""))</f>
        <v>60 kg N ab Lager</v>
      </c>
    </row>
    <row r="9" spans="1:14" ht="21.75" customHeight="1" thickBot="1" x14ac:dyDescent="0.25">
      <c r="A9" s="17" t="s">
        <v>568</v>
      </c>
      <c r="B9" s="55">
        <v>1.9</v>
      </c>
      <c r="C9" s="56">
        <v>70</v>
      </c>
      <c r="D9" s="15">
        <f t="shared" si="0"/>
        <v>133</v>
      </c>
      <c r="E9" s="64"/>
      <c r="F9" s="60">
        <f t="shared" si="3"/>
        <v>0</v>
      </c>
      <c r="G9" s="61">
        <f t="shared" si="4"/>
        <v>0</v>
      </c>
      <c r="H9" s="348">
        <f t="shared" si="5"/>
        <v>0</v>
      </c>
      <c r="I9" s="331" t="s">
        <v>318</v>
      </c>
      <c r="J9" s="502"/>
      <c r="K9" s="503"/>
      <c r="L9" s="505"/>
    </row>
    <row r="10" spans="1:14" ht="21.75" customHeight="1" thickBot="1" x14ac:dyDescent="0.25">
      <c r="A10" s="24" t="s">
        <v>10</v>
      </c>
      <c r="B10" s="55">
        <v>1.9750000000000001</v>
      </c>
      <c r="C10" s="56">
        <v>70</v>
      </c>
      <c r="D10" s="15">
        <f t="shared" si="0"/>
        <v>138.25</v>
      </c>
      <c r="E10" s="64"/>
      <c r="F10" s="60">
        <f t="shared" si="3"/>
        <v>0</v>
      </c>
      <c r="G10" s="61">
        <f t="shared" si="4"/>
        <v>0</v>
      </c>
      <c r="H10" s="348">
        <f t="shared" si="5"/>
        <v>0</v>
      </c>
      <c r="I10" s="331" t="s">
        <v>318</v>
      </c>
      <c r="J10" s="506" t="s">
        <v>1076</v>
      </c>
      <c r="K10" s="507"/>
      <c r="L10" s="504" t="str">
        <f>IF(L6="",CONCATENATE('Konventionell (2)'!T12," kg N ab Lager"),CONCATENATE('Konventionell (2)'!T12," kg N ab Lager 
(",'Konventionell (2)'!U12," kg N jw)",""))</f>
        <v>60 kg N ab Lager</v>
      </c>
    </row>
    <row r="11" spans="1:14" ht="21.75" customHeight="1" thickBot="1" x14ac:dyDescent="0.25">
      <c r="A11" s="24" t="s">
        <v>11</v>
      </c>
      <c r="B11" s="55">
        <v>2.6799999999999997</v>
      </c>
      <c r="C11" s="56">
        <v>40</v>
      </c>
      <c r="D11" s="15">
        <f t="shared" si="0"/>
        <v>107.19999999999999</v>
      </c>
      <c r="E11" s="64"/>
      <c r="F11" s="60">
        <f t="shared" si="3"/>
        <v>0</v>
      </c>
      <c r="G11" s="61">
        <f t="shared" si="4"/>
        <v>0</v>
      </c>
      <c r="H11" s="348">
        <f t="shared" si="5"/>
        <v>0</v>
      </c>
      <c r="I11" s="331" t="s">
        <v>162</v>
      </c>
      <c r="J11" s="508"/>
      <c r="K11" s="509"/>
      <c r="L11" s="505"/>
    </row>
    <row r="12" spans="1:14" ht="21.75" customHeight="1" thickBot="1" x14ac:dyDescent="0.25">
      <c r="A12" s="23" t="s">
        <v>394</v>
      </c>
      <c r="B12" s="55">
        <v>3.0700000000000003</v>
      </c>
      <c r="C12" s="56">
        <v>30</v>
      </c>
      <c r="D12" s="15">
        <f t="shared" si="0"/>
        <v>92.100000000000009</v>
      </c>
      <c r="E12" s="64"/>
      <c r="F12" s="60">
        <f t="shared" si="3"/>
        <v>0</v>
      </c>
      <c r="G12" s="61">
        <f t="shared" si="4"/>
        <v>0</v>
      </c>
      <c r="H12" s="348">
        <f t="shared" si="5"/>
        <v>0</v>
      </c>
      <c r="I12" s="331" t="s">
        <v>162</v>
      </c>
      <c r="J12" s="524" t="str">
        <f>IFERROR(IF('Konventionell (2)'!T7="langsam","",IF(OR('Konventionell (2)'!T7="leicht",L6=""),"Herbstdüngegrenze von 60 kg N ab Lager ab der Ernte der letzten Hauptkultur beachten","")),"Herbstdüngegrenze von 60 kg N ab Lager ab der Ernte der letzten Hauptkultur beachten")</f>
        <v>Herbstdüngegrenze von 60 kg N ab Lager ab der Ernte der letzten Hauptkultur beachten</v>
      </c>
      <c r="K12" s="525"/>
      <c r="L12" s="526"/>
    </row>
    <row r="13" spans="1:14" ht="21.75" customHeight="1" thickBot="1" x14ac:dyDescent="0.25">
      <c r="A13" s="19" t="s">
        <v>67</v>
      </c>
      <c r="B13" s="55">
        <v>3.08</v>
      </c>
      <c r="C13" s="56">
        <v>180</v>
      </c>
      <c r="D13" s="15">
        <f t="shared" si="0"/>
        <v>554.4</v>
      </c>
      <c r="E13" s="64"/>
      <c r="F13" s="60">
        <f t="shared" si="3"/>
        <v>0</v>
      </c>
      <c r="G13" s="61">
        <f t="shared" si="4"/>
        <v>0</v>
      </c>
      <c r="H13" s="348">
        <f t="shared" si="5"/>
        <v>0</v>
      </c>
      <c r="I13" s="331" t="s">
        <v>317</v>
      </c>
      <c r="J13" s="527"/>
      <c r="K13" s="528"/>
      <c r="L13" s="529"/>
    </row>
    <row r="14" spans="1:14" ht="21.75" customHeight="1" thickBot="1" x14ac:dyDescent="0.25">
      <c r="A14" s="17" t="s">
        <v>13</v>
      </c>
      <c r="B14" s="55">
        <v>1.52</v>
      </c>
      <c r="C14" s="56">
        <v>160</v>
      </c>
      <c r="D14" s="15">
        <f t="shared" si="0"/>
        <v>243.2</v>
      </c>
      <c r="E14" s="64"/>
      <c r="F14" s="60">
        <f t="shared" si="3"/>
        <v>0</v>
      </c>
      <c r="G14" s="61">
        <f t="shared" si="4"/>
        <v>0</v>
      </c>
      <c r="H14" s="348">
        <f t="shared" si="5"/>
        <v>0</v>
      </c>
      <c r="I14" s="331" t="s">
        <v>317</v>
      </c>
    </row>
    <row r="15" spans="1:14" ht="21.75" customHeight="1" thickBot="1" x14ac:dyDescent="0.25">
      <c r="A15" s="17" t="s">
        <v>68</v>
      </c>
      <c r="B15" s="55">
        <v>13.53</v>
      </c>
      <c r="C15" s="56">
        <v>4</v>
      </c>
      <c r="D15" s="15">
        <f t="shared" si="0"/>
        <v>54.12</v>
      </c>
      <c r="E15" s="64"/>
      <c r="F15" s="60">
        <f t="shared" si="3"/>
        <v>0</v>
      </c>
      <c r="G15" s="61">
        <f t="shared" si="4"/>
        <v>0</v>
      </c>
      <c r="H15" s="348">
        <f t="shared" si="5"/>
        <v>0</v>
      </c>
      <c r="I15" s="331" t="s">
        <v>120</v>
      </c>
    </row>
    <row r="16" spans="1:14" ht="21.75" customHeight="1" thickBot="1" x14ac:dyDescent="0.25">
      <c r="A16" s="20" t="s">
        <v>14</v>
      </c>
      <c r="B16" s="55">
        <v>8.5250000000000004</v>
      </c>
      <c r="C16" s="56">
        <v>30</v>
      </c>
      <c r="D16" s="15">
        <f t="shared" si="0"/>
        <v>255.75</v>
      </c>
      <c r="E16" s="64"/>
      <c r="F16" s="60">
        <f t="shared" si="3"/>
        <v>0</v>
      </c>
      <c r="G16" s="61">
        <f t="shared" si="4"/>
        <v>0</v>
      </c>
      <c r="H16" s="348">
        <f t="shared" si="5"/>
        <v>0</v>
      </c>
      <c r="I16" s="331" t="s">
        <v>317</v>
      </c>
    </row>
    <row r="17" spans="1:10" ht="21.75" customHeight="1" thickBot="1" x14ac:dyDescent="0.25">
      <c r="A17" s="25" t="s">
        <v>15</v>
      </c>
      <c r="B17" s="55">
        <v>2.09</v>
      </c>
      <c r="C17" s="56">
        <v>120</v>
      </c>
      <c r="D17" s="15">
        <f t="shared" si="0"/>
        <v>250.79999999999998</v>
      </c>
      <c r="E17" s="64"/>
      <c r="F17" s="60">
        <f t="shared" si="3"/>
        <v>0</v>
      </c>
      <c r="G17" s="61">
        <f t="shared" si="4"/>
        <v>0</v>
      </c>
      <c r="H17" s="348">
        <f t="shared" si="5"/>
        <v>0</v>
      </c>
      <c r="I17" s="332" t="s">
        <v>162</v>
      </c>
      <c r="J17" s="174"/>
    </row>
    <row r="18" spans="1:10" ht="21.75" customHeight="1" thickBot="1" x14ac:dyDescent="0.25">
      <c r="A18" s="17" t="s">
        <v>69</v>
      </c>
      <c r="B18" s="55">
        <v>9.98</v>
      </c>
      <c r="C18" s="56">
        <v>2</v>
      </c>
      <c r="D18" s="15">
        <f t="shared" si="0"/>
        <v>19.96</v>
      </c>
      <c r="E18" s="64"/>
      <c r="F18" s="60">
        <f t="shared" si="3"/>
        <v>0</v>
      </c>
      <c r="G18" s="61">
        <f t="shared" si="4"/>
        <v>0</v>
      </c>
      <c r="H18" s="348">
        <f t="shared" si="5"/>
        <v>0</v>
      </c>
      <c r="I18" s="331" t="s">
        <v>120</v>
      </c>
    </row>
    <row r="19" spans="1:10" ht="21.75" customHeight="1" thickBot="1" x14ac:dyDescent="0.25">
      <c r="A19" s="17" t="s">
        <v>70</v>
      </c>
      <c r="B19" s="55">
        <v>4.03</v>
      </c>
      <c r="C19" s="56">
        <v>15</v>
      </c>
      <c r="D19" s="15">
        <f t="shared" si="0"/>
        <v>60.45</v>
      </c>
      <c r="E19" s="64"/>
      <c r="F19" s="60">
        <f t="shared" si="3"/>
        <v>0</v>
      </c>
      <c r="G19" s="61">
        <f t="shared" si="4"/>
        <v>0</v>
      </c>
      <c r="H19" s="348">
        <f t="shared" si="5"/>
        <v>0</v>
      </c>
      <c r="I19" s="331" t="s">
        <v>162</v>
      </c>
    </row>
    <row r="20" spans="1:10" ht="21.75" customHeight="1" thickBot="1" x14ac:dyDescent="0.25">
      <c r="A20" s="17" t="s">
        <v>71</v>
      </c>
      <c r="B20" s="55">
        <v>17.11</v>
      </c>
      <c r="C20" s="56">
        <v>20</v>
      </c>
      <c r="D20" s="15">
        <f t="shared" si="0"/>
        <v>342.2</v>
      </c>
      <c r="E20" s="64"/>
      <c r="F20" s="60">
        <f t="shared" si="3"/>
        <v>0</v>
      </c>
      <c r="G20" s="61">
        <f t="shared" si="4"/>
        <v>0</v>
      </c>
      <c r="H20" s="348">
        <f t="shared" si="5"/>
        <v>0</v>
      </c>
      <c r="I20" s="331" t="s">
        <v>317</v>
      </c>
    </row>
    <row r="21" spans="1:10" ht="21.75" customHeight="1" thickBot="1" x14ac:dyDescent="0.25">
      <c r="A21" s="17" t="s">
        <v>16</v>
      </c>
      <c r="B21" s="55">
        <v>3.44</v>
      </c>
      <c r="C21" s="56">
        <v>30</v>
      </c>
      <c r="D21" s="15">
        <f t="shared" si="0"/>
        <v>103.2</v>
      </c>
      <c r="E21" s="64"/>
      <c r="F21" s="60">
        <f t="shared" si="3"/>
        <v>0</v>
      </c>
      <c r="G21" s="61">
        <f t="shared" si="4"/>
        <v>0</v>
      </c>
      <c r="H21" s="348">
        <f t="shared" si="5"/>
        <v>0</v>
      </c>
      <c r="I21" s="331" t="s">
        <v>317</v>
      </c>
    </row>
    <row r="22" spans="1:10" ht="21.75" customHeight="1" thickBot="1" x14ac:dyDescent="0.25">
      <c r="A22" s="17" t="s">
        <v>397</v>
      </c>
      <c r="B22" s="55">
        <v>2.8149999999999999</v>
      </c>
      <c r="C22" s="56">
        <v>40</v>
      </c>
      <c r="D22" s="15">
        <f t="shared" si="0"/>
        <v>112.6</v>
      </c>
      <c r="E22" s="64"/>
      <c r="F22" s="60">
        <f t="shared" si="3"/>
        <v>0</v>
      </c>
      <c r="G22" s="61">
        <f t="shared" si="4"/>
        <v>0</v>
      </c>
      <c r="H22" s="348">
        <f t="shared" si="5"/>
        <v>0</v>
      </c>
      <c r="I22" s="331" t="s">
        <v>162</v>
      </c>
    </row>
    <row r="23" spans="1:10" ht="21.75" customHeight="1" thickBot="1" x14ac:dyDescent="0.25">
      <c r="A23" s="18" t="s">
        <v>399</v>
      </c>
      <c r="B23" s="55">
        <v>4.47</v>
      </c>
      <c r="C23" s="56">
        <v>10</v>
      </c>
      <c r="D23" s="15">
        <f t="shared" si="0"/>
        <v>44.699999999999996</v>
      </c>
      <c r="E23" s="64"/>
      <c r="F23" s="60">
        <f t="shared" si="3"/>
        <v>0</v>
      </c>
      <c r="G23" s="61">
        <f t="shared" si="4"/>
        <v>0</v>
      </c>
      <c r="H23" s="348">
        <f t="shared" si="5"/>
        <v>0</v>
      </c>
      <c r="I23" s="331" t="s">
        <v>120</v>
      </c>
    </row>
    <row r="24" spans="1:10" ht="21.75" customHeight="1" thickBot="1" x14ac:dyDescent="0.25">
      <c r="A24" s="20" t="s">
        <v>609</v>
      </c>
      <c r="B24" s="55">
        <v>1.92</v>
      </c>
      <c r="C24" s="56">
        <v>30</v>
      </c>
      <c r="D24" s="15">
        <f t="shared" si="0"/>
        <v>57.599999999999994</v>
      </c>
      <c r="E24" s="64"/>
      <c r="F24" s="60">
        <f t="shared" si="3"/>
        <v>0</v>
      </c>
      <c r="G24" s="61">
        <f t="shared" si="4"/>
        <v>0</v>
      </c>
      <c r="H24" s="348">
        <f t="shared" si="5"/>
        <v>0</v>
      </c>
      <c r="I24" s="331" t="s">
        <v>317</v>
      </c>
    </row>
    <row r="25" spans="1:10" ht="21.75" customHeight="1" thickBot="1" x14ac:dyDescent="0.25">
      <c r="A25" s="22" t="s">
        <v>915</v>
      </c>
      <c r="B25" s="55">
        <v>12.05</v>
      </c>
      <c r="C25" s="56">
        <v>12</v>
      </c>
      <c r="D25" s="15">
        <f t="shared" si="0"/>
        <v>144.60000000000002</v>
      </c>
      <c r="E25" s="64"/>
      <c r="F25" s="60">
        <f t="shared" si="3"/>
        <v>0</v>
      </c>
      <c r="G25" s="61">
        <f t="shared" si="4"/>
        <v>0</v>
      </c>
      <c r="H25" s="348">
        <f t="shared" si="5"/>
        <v>0</v>
      </c>
      <c r="I25" s="331" t="s">
        <v>321</v>
      </c>
    </row>
    <row r="26" spans="1:10" ht="21.75" customHeight="1" thickBot="1" x14ac:dyDescent="0.25">
      <c r="A26" s="23" t="s">
        <v>19</v>
      </c>
      <c r="B26" s="55">
        <v>4.9000000000000004</v>
      </c>
      <c r="C26" s="56">
        <v>10</v>
      </c>
      <c r="D26" s="15">
        <f t="shared" si="0"/>
        <v>49</v>
      </c>
      <c r="E26" s="64"/>
      <c r="F26" s="60">
        <f t="shared" si="3"/>
        <v>0</v>
      </c>
      <c r="G26" s="61">
        <f t="shared" si="4"/>
        <v>0</v>
      </c>
      <c r="H26" s="348">
        <f t="shared" si="5"/>
        <v>0</v>
      </c>
      <c r="I26" s="331" t="s">
        <v>120</v>
      </c>
    </row>
    <row r="27" spans="1:10" ht="21.75" customHeight="1" thickBot="1" x14ac:dyDescent="0.25">
      <c r="A27" s="23" t="s">
        <v>473</v>
      </c>
      <c r="B27" s="55">
        <v>4.4849999999999994</v>
      </c>
      <c r="C27" s="56">
        <v>90</v>
      </c>
      <c r="D27" s="15">
        <f t="shared" si="0"/>
        <v>403.65</v>
      </c>
      <c r="E27" s="64"/>
      <c r="F27" s="60">
        <f t="shared" si="3"/>
        <v>0</v>
      </c>
      <c r="G27" s="61">
        <f t="shared" si="4"/>
        <v>0</v>
      </c>
      <c r="H27" s="348">
        <f t="shared" si="5"/>
        <v>0</v>
      </c>
      <c r="I27" s="331" t="s">
        <v>317</v>
      </c>
    </row>
    <row r="28" spans="1:10" ht="40.5" customHeight="1" thickBot="1" x14ac:dyDescent="0.25">
      <c r="A28" s="17" t="s">
        <v>21</v>
      </c>
      <c r="B28" s="55">
        <v>7.65</v>
      </c>
      <c r="C28" s="56">
        <v>25</v>
      </c>
      <c r="D28" s="15">
        <f t="shared" si="0"/>
        <v>191.25</v>
      </c>
      <c r="E28" s="64"/>
      <c r="F28" s="60">
        <f t="shared" si="3"/>
        <v>0</v>
      </c>
      <c r="G28" s="61">
        <f t="shared" si="4"/>
        <v>0</v>
      </c>
      <c r="H28" s="348">
        <f t="shared" si="5"/>
        <v>0</v>
      </c>
      <c r="I28" s="331" t="s">
        <v>317</v>
      </c>
    </row>
    <row r="29" spans="1:10" ht="31.5" customHeight="1" thickBot="1" x14ac:dyDescent="0.25">
      <c r="A29" s="20" t="s">
        <v>23</v>
      </c>
      <c r="B29" s="55">
        <v>7.8</v>
      </c>
      <c r="C29" s="56">
        <v>8</v>
      </c>
      <c r="D29" s="15">
        <f t="shared" si="0"/>
        <v>62.4</v>
      </c>
      <c r="E29" s="64"/>
      <c r="F29" s="60">
        <f t="shared" si="3"/>
        <v>0</v>
      </c>
      <c r="G29" s="61">
        <f t="shared" si="4"/>
        <v>0</v>
      </c>
      <c r="H29" s="348">
        <f t="shared" si="5"/>
        <v>0</v>
      </c>
      <c r="I29" s="331" t="s">
        <v>120</v>
      </c>
    </row>
    <row r="30" spans="1:10" ht="31.5" customHeight="1" thickBot="1" x14ac:dyDescent="0.25">
      <c r="A30" s="17" t="s">
        <v>1082</v>
      </c>
      <c r="B30" s="55">
        <v>3.7399999999999998</v>
      </c>
      <c r="C30" s="56">
        <v>10</v>
      </c>
      <c r="D30" s="15">
        <f t="shared" si="0"/>
        <v>37.4</v>
      </c>
      <c r="E30" s="64"/>
      <c r="F30" s="60">
        <f t="shared" si="3"/>
        <v>0</v>
      </c>
      <c r="G30" s="61">
        <f t="shared" si="4"/>
        <v>0</v>
      </c>
      <c r="H30" s="348">
        <f t="shared" si="5"/>
        <v>0</v>
      </c>
      <c r="I30" s="331" t="s">
        <v>319</v>
      </c>
    </row>
    <row r="31" spans="1:10" ht="21.75" customHeight="1" thickBot="1" x14ac:dyDescent="0.25">
      <c r="A31" s="24" t="s">
        <v>557</v>
      </c>
      <c r="B31" s="55">
        <v>4.5</v>
      </c>
      <c r="C31" s="56">
        <v>50</v>
      </c>
      <c r="D31" s="15">
        <f t="shared" si="0"/>
        <v>225</v>
      </c>
      <c r="E31" s="64"/>
      <c r="F31" s="60">
        <f t="shared" si="3"/>
        <v>0</v>
      </c>
      <c r="G31" s="61">
        <f t="shared" si="4"/>
        <v>0</v>
      </c>
      <c r="H31" s="348">
        <f t="shared" si="5"/>
        <v>0</v>
      </c>
      <c r="I31" s="331" t="s">
        <v>373</v>
      </c>
    </row>
    <row r="32" spans="1:10" ht="21.75" customHeight="1" thickBot="1" x14ac:dyDescent="0.25">
      <c r="A32" s="24" t="s">
        <v>24</v>
      </c>
      <c r="B32" s="55">
        <v>3.165</v>
      </c>
      <c r="C32" s="56">
        <v>20</v>
      </c>
      <c r="D32" s="15">
        <f t="shared" si="0"/>
        <v>63.3</v>
      </c>
      <c r="E32" s="64"/>
      <c r="F32" s="60">
        <f t="shared" si="3"/>
        <v>0</v>
      </c>
      <c r="G32" s="61">
        <f t="shared" si="4"/>
        <v>0</v>
      </c>
      <c r="H32" s="348">
        <f t="shared" si="5"/>
        <v>0</v>
      </c>
      <c r="I32" s="331" t="s">
        <v>120</v>
      </c>
    </row>
    <row r="33" spans="1:9" ht="21.75" customHeight="1" thickBot="1" x14ac:dyDescent="0.25">
      <c r="A33" s="24" t="s">
        <v>93</v>
      </c>
      <c r="B33" s="55">
        <v>3.6500000000000004</v>
      </c>
      <c r="C33" s="56">
        <v>25</v>
      </c>
      <c r="D33" s="15">
        <f t="shared" si="0"/>
        <v>91.250000000000014</v>
      </c>
      <c r="E33" s="64"/>
      <c r="F33" s="60">
        <f t="shared" si="3"/>
        <v>0</v>
      </c>
      <c r="G33" s="61">
        <f t="shared" si="4"/>
        <v>0</v>
      </c>
      <c r="H33" s="348">
        <f t="shared" si="5"/>
        <v>0</v>
      </c>
      <c r="I33" s="331" t="s">
        <v>120</v>
      </c>
    </row>
    <row r="34" spans="1:9" ht="21.75" customHeight="1" thickBot="1" x14ac:dyDescent="0.25">
      <c r="A34" s="20" t="s">
        <v>25</v>
      </c>
      <c r="B34" s="55">
        <v>6.3150000000000004</v>
      </c>
      <c r="C34" s="56">
        <v>20</v>
      </c>
      <c r="D34" s="15">
        <f t="shared" si="0"/>
        <v>126.30000000000001</v>
      </c>
      <c r="E34" s="64"/>
      <c r="F34" s="60">
        <f t="shared" si="3"/>
        <v>0</v>
      </c>
      <c r="G34" s="61">
        <f t="shared" si="4"/>
        <v>0</v>
      </c>
      <c r="H34" s="348">
        <f t="shared" si="5"/>
        <v>0</v>
      </c>
      <c r="I34" s="331" t="s">
        <v>317</v>
      </c>
    </row>
    <row r="35" spans="1:9" ht="21.75" customHeight="1" thickBot="1" x14ac:dyDescent="0.25">
      <c r="A35" s="20" t="s">
        <v>26</v>
      </c>
      <c r="B35" s="55">
        <v>4.665</v>
      </c>
      <c r="C35" s="56">
        <v>12</v>
      </c>
      <c r="D35" s="15">
        <f t="shared" si="0"/>
        <v>55.980000000000004</v>
      </c>
      <c r="E35" s="64"/>
      <c r="F35" s="60">
        <f t="shared" si="3"/>
        <v>0</v>
      </c>
      <c r="G35" s="61">
        <f t="shared" si="4"/>
        <v>0</v>
      </c>
      <c r="H35" s="348">
        <f t="shared" si="5"/>
        <v>0</v>
      </c>
      <c r="I35" s="331" t="s">
        <v>320</v>
      </c>
    </row>
    <row r="36" spans="1:9" ht="21.75" customHeight="1" thickBot="1" x14ac:dyDescent="0.25">
      <c r="A36" s="20" t="s">
        <v>28</v>
      </c>
      <c r="B36" s="55">
        <v>2.2000000000000002</v>
      </c>
      <c r="C36" s="56">
        <v>140</v>
      </c>
      <c r="D36" s="15">
        <f t="shared" si="0"/>
        <v>308</v>
      </c>
      <c r="E36" s="64"/>
      <c r="F36" s="60">
        <f t="shared" si="3"/>
        <v>0</v>
      </c>
      <c r="G36" s="61">
        <f t="shared" si="4"/>
        <v>0</v>
      </c>
      <c r="H36" s="348">
        <f t="shared" si="5"/>
        <v>0</v>
      </c>
      <c r="I36" s="331" t="s">
        <v>317</v>
      </c>
    </row>
    <row r="37" spans="1:9" ht="21.75" customHeight="1" thickBot="1" x14ac:dyDescent="0.25">
      <c r="A37" s="20" t="s">
        <v>30</v>
      </c>
      <c r="B37" s="55">
        <v>21.96</v>
      </c>
      <c r="C37" s="56">
        <v>12</v>
      </c>
      <c r="D37" s="15">
        <f t="shared" si="0"/>
        <v>263.52</v>
      </c>
      <c r="E37" s="64"/>
      <c r="F37" s="60">
        <f t="shared" si="3"/>
        <v>0</v>
      </c>
      <c r="G37" s="61">
        <f t="shared" si="4"/>
        <v>0</v>
      </c>
      <c r="H37" s="348">
        <f t="shared" si="5"/>
        <v>0</v>
      </c>
      <c r="I37" s="331" t="s">
        <v>319</v>
      </c>
    </row>
    <row r="38" spans="1:9" ht="21.75" customHeight="1" thickBot="1" x14ac:dyDescent="0.25">
      <c r="A38" s="48" t="s">
        <v>31</v>
      </c>
      <c r="B38" s="55">
        <v>7.8949999999999996</v>
      </c>
      <c r="C38" s="56">
        <v>25</v>
      </c>
      <c r="D38" s="15">
        <f t="shared" si="0"/>
        <v>197.375</v>
      </c>
      <c r="E38" s="64"/>
      <c r="F38" s="60">
        <f t="shared" si="3"/>
        <v>0</v>
      </c>
      <c r="G38" s="61">
        <f t="shared" si="4"/>
        <v>0</v>
      </c>
      <c r="H38" s="348">
        <f t="shared" si="5"/>
        <v>0</v>
      </c>
      <c r="I38" s="331" t="s">
        <v>317</v>
      </c>
    </row>
    <row r="39" spans="1:9" ht="21.75" customHeight="1" thickBot="1" x14ac:dyDescent="0.25">
      <c r="A39" s="49" t="s">
        <v>74</v>
      </c>
      <c r="B39" s="55">
        <v>2.13</v>
      </c>
      <c r="C39" s="56">
        <v>150</v>
      </c>
      <c r="D39" s="15">
        <f t="shared" si="0"/>
        <v>319.5</v>
      </c>
      <c r="E39" s="64"/>
      <c r="F39" s="60">
        <f t="shared" si="3"/>
        <v>0</v>
      </c>
      <c r="G39" s="61">
        <f t="shared" si="4"/>
        <v>0</v>
      </c>
      <c r="H39" s="348">
        <f t="shared" si="5"/>
        <v>0</v>
      </c>
      <c r="I39" s="331" t="s">
        <v>317</v>
      </c>
    </row>
    <row r="40" spans="1:9" ht="21.75" customHeight="1" thickBot="1" x14ac:dyDescent="0.25">
      <c r="A40" s="49" t="s">
        <v>549</v>
      </c>
      <c r="B40" s="55">
        <v>2.34</v>
      </c>
      <c r="C40" s="56">
        <v>130</v>
      </c>
      <c r="D40" s="15">
        <f t="shared" si="0"/>
        <v>304.2</v>
      </c>
      <c r="E40" s="64"/>
      <c r="F40" s="60">
        <f t="shared" si="3"/>
        <v>0</v>
      </c>
      <c r="G40" s="61">
        <f t="shared" si="4"/>
        <v>0</v>
      </c>
      <c r="H40" s="348">
        <f t="shared" si="5"/>
        <v>0</v>
      </c>
      <c r="I40" s="331" t="s">
        <v>317</v>
      </c>
    </row>
    <row r="41" spans="1:9" ht="21.75" customHeight="1" thickBot="1" x14ac:dyDescent="0.25">
      <c r="A41" s="20" t="s">
        <v>94</v>
      </c>
      <c r="B41" s="55">
        <v>5.3699999999999992</v>
      </c>
      <c r="C41" s="56">
        <v>30</v>
      </c>
      <c r="D41" s="15">
        <f t="shared" si="0"/>
        <v>161.09999999999997</v>
      </c>
      <c r="E41" s="64"/>
      <c r="F41" s="60">
        <f t="shared" si="3"/>
        <v>0</v>
      </c>
      <c r="G41" s="61">
        <f t="shared" si="4"/>
        <v>0</v>
      </c>
      <c r="H41" s="348">
        <f t="shared" si="5"/>
        <v>0</v>
      </c>
      <c r="I41" s="331" t="s">
        <v>120</v>
      </c>
    </row>
    <row r="42" spans="1:9" ht="21.75" customHeight="1" thickBot="1" x14ac:dyDescent="0.25">
      <c r="A42" s="20" t="s">
        <v>555</v>
      </c>
      <c r="B42" s="55">
        <v>2.39</v>
      </c>
      <c r="C42" s="56">
        <v>100</v>
      </c>
      <c r="D42" s="15">
        <f t="shared" si="0"/>
        <v>239</v>
      </c>
      <c r="E42" s="64"/>
      <c r="F42" s="60">
        <f t="shared" si="3"/>
        <v>0</v>
      </c>
      <c r="G42" s="61">
        <f t="shared" si="4"/>
        <v>0</v>
      </c>
      <c r="H42" s="348">
        <f t="shared" si="5"/>
        <v>0</v>
      </c>
      <c r="I42" s="331" t="s">
        <v>162</v>
      </c>
    </row>
    <row r="43" spans="1:9" ht="21.75" customHeight="1" thickBot="1" x14ac:dyDescent="0.25">
      <c r="A43" s="20" t="s">
        <v>33</v>
      </c>
      <c r="B43" s="55">
        <v>5.95</v>
      </c>
      <c r="C43" s="56">
        <v>10</v>
      </c>
      <c r="D43" s="15">
        <f t="shared" si="0"/>
        <v>59.5</v>
      </c>
      <c r="E43" s="64"/>
      <c r="F43" s="60">
        <f t="shared" si="3"/>
        <v>0</v>
      </c>
      <c r="G43" s="61">
        <f t="shared" si="4"/>
        <v>0</v>
      </c>
      <c r="H43" s="348">
        <f t="shared" si="5"/>
        <v>0</v>
      </c>
      <c r="I43" s="331" t="s">
        <v>120</v>
      </c>
    </row>
    <row r="44" spans="1:9" ht="21.75" customHeight="1" thickBot="1" x14ac:dyDescent="0.25">
      <c r="A44" s="17" t="s">
        <v>34</v>
      </c>
      <c r="B44" s="55">
        <v>2.19</v>
      </c>
      <c r="C44" s="56">
        <v>20</v>
      </c>
      <c r="D44" s="15">
        <f t="shared" si="0"/>
        <v>43.8</v>
      </c>
      <c r="E44" s="64"/>
      <c r="F44" s="60">
        <f t="shared" si="3"/>
        <v>0</v>
      </c>
      <c r="G44" s="61">
        <f t="shared" si="4"/>
        <v>0</v>
      </c>
      <c r="H44" s="348">
        <f t="shared" si="5"/>
        <v>0</v>
      </c>
      <c r="I44" s="331" t="s">
        <v>317</v>
      </c>
    </row>
    <row r="45" spans="1:9" ht="21.75" customHeight="1" thickBot="1" x14ac:dyDescent="0.25">
      <c r="A45" s="17" t="s">
        <v>35</v>
      </c>
      <c r="B45" s="55">
        <v>2.335</v>
      </c>
      <c r="C45" s="56">
        <v>15</v>
      </c>
      <c r="D45" s="15">
        <f t="shared" si="0"/>
        <v>35.024999999999999</v>
      </c>
      <c r="E45" s="64"/>
      <c r="F45" s="60">
        <f t="shared" si="3"/>
        <v>0</v>
      </c>
      <c r="G45" s="61">
        <f t="shared" si="4"/>
        <v>0</v>
      </c>
      <c r="H45" s="348">
        <f t="shared" si="5"/>
        <v>0</v>
      </c>
      <c r="I45" s="331" t="s">
        <v>120</v>
      </c>
    </row>
    <row r="46" spans="1:9" ht="21.75" customHeight="1" thickBot="1" x14ac:dyDescent="0.25">
      <c r="A46" s="24" t="s">
        <v>1078</v>
      </c>
      <c r="B46" s="55">
        <v>3.105</v>
      </c>
      <c r="C46" s="56">
        <v>20</v>
      </c>
      <c r="D46" s="15">
        <f t="shared" si="0"/>
        <v>62.1</v>
      </c>
      <c r="E46" s="64"/>
      <c r="F46" s="60">
        <f t="shared" si="3"/>
        <v>0</v>
      </c>
      <c r="G46" s="61">
        <f t="shared" si="4"/>
        <v>0</v>
      </c>
      <c r="H46" s="348">
        <f t="shared" si="5"/>
        <v>0</v>
      </c>
      <c r="I46" s="331" t="s">
        <v>120</v>
      </c>
    </row>
    <row r="47" spans="1:9" ht="21.75" customHeight="1" thickBot="1" x14ac:dyDescent="0.25">
      <c r="A47" s="20" t="s">
        <v>37</v>
      </c>
      <c r="B47" s="55">
        <v>3.08</v>
      </c>
      <c r="C47" s="56">
        <v>15</v>
      </c>
      <c r="D47" s="15">
        <f t="shared" si="0"/>
        <v>46.2</v>
      </c>
      <c r="E47" s="64"/>
      <c r="F47" s="60">
        <f t="shared" si="3"/>
        <v>0</v>
      </c>
      <c r="G47" s="61">
        <f t="shared" si="4"/>
        <v>0</v>
      </c>
      <c r="H47" s="348">
        <f t="shared" si="5"/>
        <v>0</v>
      </c>
      <c r="I47" s="331" t="s">
        <v>120</v>
      </c>
    </row>
    <row r="48" spans="1:9" ht="21.75" customHeight="1" thickBot="1" x14ac:dyDescent="0.25">
      <c r="A48" s="24" t="s">
        <v>217</v>
      </c>
      <c r="B48" s="55">
        <v>5</v>
      </c>
      <c r="C48" s="56">
        <v>6</v>
      </c>
      <c r="D48" s="15">
        <f t="shared" si="0"/>
        <v>30</v>
      </c>
      <c r="E48" s="64"/>
      <c r="F48" s="60">
        <f t="shared" si="3"/>
        <v>0</v>
      </c>
      <c r="G48" s="61">
        <f t="shared" si="4"/>
        <v>0</v>
      </c>
      <c r="H48" s="348">
        <f t="shared" si="5"/>
        <v>0</v>
      </c>
      <c r="I48" s="331" t="s">
        <v>319</v>
      </c>
    </row>
    <row r="49" spans="1:14" ht="21.75" customHeight="1" thickBot="1" x14ac:dyDescent="0.25">
      <c r="A49" s="17" t="s">
        <v>403</v>
      </c>
      <c r="B49" s="55">
        <v>21.52</v>
      </c>
      <c r="C49" s="56">
        <v>20</v>
      </c>
      <c r="D49" s="15">
        <f t="shared" si="0"/>
        <v>430.4</v>
      </c>
      <c r="E49" s="64"/>
      <c r="F49" s="60">
        <f t="shared" si="3"/>
        <v>0</v>
      </c>
      <c r="G49" s="61">
        <f t="shared" si="4"/>
        <v>0</v>
      </c>
      <c r="H49" s="348">
        <f t="shared" si="5"/>
        <v>0</v>
      </c>
      <c r="I49" s="331" t="s">
        <v>456</v>
      </c>
    </row>
    <row r="50" spans="1:14" ht="21.75" customHeight="1" thickBot="1" x14ac:dyDescent="0.25">
      <c r="A50" s="17" t="s">
        <v>490</v>
      </c>
      <c r="B50" s="55">
        <v>6</v>
      </c>
      <c r="C50" s="56">
        <v>20</v>
      </c>
      <c r="D50" s="15">
        <f t="shared" si="0"/>
        <v>120</v>
      </c>
      <c r="E50" s="64"/>
      <c r="F50" s="60">
        <f t="shared" si="3"/>
        <v>0</v>
      </c>
      <c r="G50" s="61">
        <f t="shared" si="4"/>
        <v>0</v>
      </c>
      <c r="H50" s="348">
        <f t="shared" si="5"/>
        <v>0</v>
      </c>
      <c r="I50" s="331" t="s">
        <v>317</v>
      </c>
    </row>
    <row r="51" spans="1:14" ht="21.75" customHeight="1" thickBot="1" x14ac:dyDescent="0.25">
      <c r="A51" s="17" t="s">
        <v>38</v>
      </c>
      <c r="B51" s="55">
        <v>3.0650000000000004</v>
      </c>
      <c r="C51" s="56">
        <v>25</v>
      </c>
      <c r="D51" s="15">
        <f t="shared" si="0"/>
        <v>76.625000000000014</v>
      </c>
      <c r="E51" s="64"/>
      <c r="F51" s="60">
        <f t="shared" si="3"/>
        <v>0</v>
      </c>
      <c r="G51" s="61">
        <f t="shared" si="4"/>
        <v>0</v>
      </c>
      <c r="H51" s="348">
        <f t="shared" si="5"/>
        <v>0</v>
      </c>
      <c r="I51" s="331" t="s">
        <v>162</v>
      </c>
    </row>
    <row r="52" spans="1:14" ht="21.75" customHeight="1" thickBot="1" x14ac:dyDescent="0.25">
      <c r="A52" s="17" t="s">
        <v>208</v>
      </c>
      <c r="B52" s="55">
        <v>2.06</v>
      </c>
      <c r="C52" s="56">
        <v>120</v>
      </c>
      <c r="D52" s="15">
        <f t="shared" si="0"/>
        <v>247.20000000000002</v>
      </c>
      <c r="E52" s="64"/>
      <c r="F52" s="60">
        <f t="shared" si="3"/>
        <v>0</v>
      </c>
      <c r="G52" s="61">
        <f t="shared" si="4"/>
        <v>0</v>
      </c>
      <c r="H52" s="348">
        <f t="shared" si="5"/>
        <v>0</v>
      </c>
      <c r="I52" s="331" t="s">
        <v>162</v>
      </c>
    </row>
    <row r="53" spans="1:14" ht="21.75" customHeight="1" thickBot="1" x14ac:dyDescent="0.25">
      <c r="A53" s="17" t="s">
        <v>39</v>
      </c>
      <c r="B53" s="55">
        <v>9.3000000000000007</v>
      </c>
      <c r="C53" s="56">
        <v>12</v>
      </c>
      <c r="D53" s="15">
        <f t="shared" si="0"/>
        <v>111.60000000000001</v>
      </c>
      <c r="E53" s="64"/>
      <c r="F53" s="60">
        <f t="shared" si="3"/>
        <v>0</v>
      </c>
      <c r="G53" s="61">
        <f t="shared" si="4"/>
        <v>0</v>
      </c>
      <c r="H53" s="348">
        <f t="shared" si="5"/>
        <v>0</v>
      </c>
      <c r="I53" s="331" t="s">
        <v>317</v>
      </c>
    </row>
    <row r="54" spans="1:14" ht="21.75" customHeight="1" thickBot="1" x14ac:dyDescent="0.25">
      <c r="A54" s="17" t="s">
        <v>404</v>
      </c>
      <c r="B54" s="55">
        <v>2.37</v>
      </c>
      <c r="C54" s="56">
        <v>150</v>
      </c>
      <c r="D54" s="15">
        <f t="shared" si="0"/>
        <v>355.5</v>
      </c>
      <c r="E54" s="64"/>
      <c r="F54" s="60">
        <f t="shared" si="3"/>
        <v>0</v>
      </c>
      <c r="G54" s="61">
        <f t="shared" si="4"/>
        <v>0</v>
      </c>
      <c r="H54" s="348">
        <f t="shared" si="5"/>
        <v>0</v>
      </c>
      <c r="I54" s="331" t="s">
        <v>317</v>
      </c>
    </row>
    <row r="55" spans="1:14" ht="21.75" customHeight="1" thickBot="1" x14ac:dyDescent="0.25">
      <c r="A55" s="17" t="s">
        <v>41</v>
      </c>
      <c r="B55" s="55">
        <v>3.0350000000000001</v>
      </c>
      <c r="C55" s="56">
        <v>15</v>
      </c>
      <c r="D55" s="15">
        <f t="shared" si="0"/>
        <v>45.525000000000006</v>
      </c>
      <c r="E55" s="64"/>
      <c r="F55" s="60">
        <f t="shared" si="3"/>
        <v>0</v>
      </c>
      <c r="G55" s="61">
        <f t="shared" si="4"/>
        <v>0</v>
      </c>
      <c r="H55" s="348">
        <f t="shared" si="5"/>
        <v>0</v>
      </c>
      <c r="I55" s="331" t="s">
        <v>120</v>
      </c>
    </row>
    <row r="56" spans="1:14" ht="21.75" customHeight="1" thickBot="1" x14ac:dyDescent="0.25">
      <c r="A56" s="17" t="s">
        <v>556</v>
      </c>
      <c r="B56" s="55">
        <v>3.5649999999999999</v>
      </c>
      <c r="C56" s="56">
        <v>15</v>
      </c>
      <c r="D56" s="15">
        <f t="shared" si="0"/>
        <v>53.475000000000001</v>
      </c>
      <c r="E56" s="64"/>
      <c r="F56" s="60">
        <f t="shared" si="3"/>
        <v>0</v>
      </c>
      <c r="G56" s="61">
        <f t="shared" si="4"/>
        <v>0</v>
      </c>
      <c r="H56" s="348">
        <f t="shared" si="5"/>
        <v>0</v>
      </c>
      <c r="I56" s="331" t="s">
        <v>120</v>
      </c>
    </row>
    <row r="57" spans="1:14" ht="21.75" customHeight="1" thickBot="1" x14ac:dyDescent="0.25">
      <c r="A57" s="17" t="s">
        <v>42</v>
      </c>
      <c r="B57" s="55">
        <v>2.7450000000000001</v>
      </c>
      <c r="C57" s="56">
        <v>100</v>
      </c>
      <c r="D57" s="15">
        <f t="shared" si="0"/>
        <v>274.5</v>
      </c>
      <c r="E57" s="64"/>
      <c r="F57" s="60">
        <f t="shared" si="3"/>
        <v>0</v>
      </c>
      <c r="G57" s="61">
        <f t="shared" si="4"/>
        <v>0</v>
      </c>
      <c r="H57" s="348">
        <f t="shared" si="5"/>
        <v>0</v>
      </c>
      <c r="I57" s="331" t="s">
        <v>317</v>
      </c>
    </row>
    <row r="58" spans="1:14" ht="21.75" customHeight="1" thickBot="1" x14ac:dyDescent="0.25">
      <c r="A58" s="17" t="s">
        <v>408</v>
      </c>
      <c r="B58" s="55">
        <v>26.01</v>
      </c>
      <c r="C58" s="56">
        <v>15</v>
      </c>
      <c r="D58" s="15">
        <f t="shared" si="0"/>
        <v>390.15000000000003</v>
      </c>
      <c r="E58" s="281"/>
      <c r="F58" s="60">
        <f t="shared" si="3"/>
        <v>0</v>
      </c>
      <c r="G58" s="61">
        <f t="shared" si="4"/>
        <v>0</v>
      </c>
      <c r="H58" s="348">
        <f t="shared" si="5"/>
        <v>0</v>
      </c>
      <c r="I58" s="331" t="s">
        <v>319</v>
      </c>
    </row>
    <row r="59" spans="1:14" ht="21.75" customHeight="1" thickBot="1" x14ac:dyDescent="0.25">
      <c r="A59" s="49" t="s">
        <v>409</v>
      </c>
      <c r="B59" s="55">
        <v>5.83</v>
      </c>
      <c r="C59" s="56">
        <v>12</v>
      </c>
      <c r="D59" s="15">
        <f t="shared" si="0"/>
        <v>69.960000000000008</v>
      </c>
      <c r="E59" s="64"/>
      <c r="F59" s="60">
        <f t="shared" si="3"/>
        <v>0</v>
      </c>
      <c r="G59" s="61">
        <f t="shared" si="4"/>
        <v>0</v>
      </c>
      <c r="H59" s="348">
        <f t="shared" si="5"/>
        <v>0</v>
      </c>
      <c r="I59" s="331" t="s">
        <v>162</v>
      </c>
    </row>
    <row r="60" spans="1:14" ht="21.75" customHeight="1" thickTop="1" thickBot="1" x14ac:dyDescent="0.25">
      <c r="A60" s="126" t="s">
        <v>105</v>
      </c>
      <c r="B60" s="127"/>
      <c r="C60" s="128"/>
      <c r="D60" s="328">
        <f t="shared" ref="D60:D65" si="6">IF(ISERROR(C60*B60),0,C60*B60)</f>
        <v>0</v>
      </c>
      <c r="E60" s="282"/>
      <c r="F60" s="130">
        <f t="shared" ref="F60:F66" si="7">IF(ISERROR(E60*B60),0,(E60*B60))</f>
        <v>0</v>
      </c>
      <c r="G60" s="271">
        <f t="shared" ref="G60:G66" si="8">IF(ISERROR(E60/C60),0,(E60/C60))</f>
        <v>0</v>
      </c>
      <c r="H60" s="349">
        <f t="shared" ref="H60:H66" si="9">IF(ISERROR(ROUND($I$2*E60,1)),0,ROUND($I$2*E60,1))</f>
        <v>0</v>
      </c>
      <c r="I60" s="283"/>
      <c r="J60" s="444" t="s">
        <v>379</v>
      </c>
      <c r="K60" s="492"/>
      <c r="L60" s="224"/>
      <c r="M60" s="184" t="s">
        <v>457</v>
      </c>
      <c r="N60" s="232"/>
    </row>
    <row r="61" spans="1:14" ht="21.75" customHeight="1" thickBot="1" x14ac:dyDescent="0.25">
      <c r="A61" s="131" t="s">
        <v>106</v>
      </c>
      <c r="B61" s="51"/>
      <c r="C61" s="52"/>
      <c r="D61" s="21">
        <f t="shared" si="6"/>
        <v>0</v>
      </c>
      <c r="E61" s="64"/>
      <c r="F61" s="60">
        <f t="shared" si="7"/>
        <v>0</v>
      </c>
      <c r="G61" s="272">
        <f t="shared" si="8"/>
        <v>0</v>
      </c>
      <c r="H61" s="350">
        <f t="shared" si="9"/>
        <v>0</v>
      </c>
      <c r="I61" s="225"/>
      <c r="J61" s="493" t="s">
        <v>379</v>
      </c>
      <c r="K61" s="492"/>
      <c r="L61" s="224"/>
      <c r="M61" s="184" t="s">
        <v>457</v>
      </c>
      <c r="N61" s="232"/>
    </row>
    <row r="62" spans="1:14" ht="21.75" customHeight="1" thickBot="1" x14ac:dyDescent="0.25">
      <c r="A62" s="131" t="s">
        <v>107</v>
      </c>
      <c r="B62" s="51"/>
      <c r="C62" s="52"/>
      <c r="D62" s="21">
        <f t="shared" si="6"/>
        <v>0</v>
      </c>
      <c r="E62" s="64"/>
      <c r="F62" s="60">
        <f t="shared" si="7"/>
        <v>0</v>
      </c>
      <c r="G62" s="272">
        <f t="shared" si="8"/>
        <v>0</v>
      </c>
      <c r="H62" s="350">
        <f t="shared" si="9"/>
        <v>0</v>
      </c>
      <c r="I62" s="225"/>
      <c r="J62" s="493" t="s">
        <v>379</v>
      </c>
      <c r="K62" s="492"/>
      <c r="L62" s="224"/>
      <c r="M62" s="184" t="s">
        <v>457</v>
      </c>
      <c r="N62" s="232"/>
    </row>
    <row r="63" spans="1:14" ht="21.75" customHeight="1" thickBot="1" x14ac:dyDescent="0.25">
      <c r="A63" s="131" t="s">
        <v>108</v>
      </c>
      <c r="B63" s="51"/>
      <c r="C63" s="52"/>
      <c r="D63" s="21">
        <f t="shared" si="6"/>
        <v>0</v>
      </c>
      <c r="E63" s="64"/>
      <c r="F63" s="60">
        <f t="shared" si="7"/>
        <v>0</v>
      </c>
      <c r="G63" s="272">
        <f t="shared" si="8"/>
        <v>0</v>
      </c>
      <c r="H63" s="350">
        <f t="shared" si="9"/>
        <v>0</v>
      </c>
      <c r="I63" s="225"/>
      <c r="J63" s="493" t="s">
        <v>379</v>
      </c>
      <c r="K63" s="492"/>
      <c r="L63" s="224"/>
      <c r="M63" s="184" t="s">
        <v>457</v>
      </c>
      <c r="N63" s="232"/>
    </row>
    <row r="64" spans="1:14" ht="21.75" customHeight="1" thickBot="1" x14ac:dyDescent="0.25">
      <c r="A64" s="131" t="s">
        <v>109</v>
      </c>
      <c r="B64" s="51"/>
      <c r="C64" s="52"/>
      <c r="D64" s="21">
        <f t="shared" si="6"/>
        <v>0</v>
      </c>
      <c r="E64" s="64"/>
      <c r="F64" s="60">
        <f t="shared" si="7"/>
        <v>0</v>
      </c>
      <c r="G64" s="272">
        <f t="shared" si="8"/>
        <v>0</v>
      </c>
      <c r="H64" s="350">
        <f t="shared" si="9"/>
        <v>0</v>
      </c>
      <c r="I64" s="225"/>
      <c r="J64" s="493" t="s">
        <v>379</v>
      </c>
      <c r="K64" s="492"/>
      <c r="L64" s="224"/>
      <c r="M64" s="184" t="s">
        <v>457</v>
      </c>
      <c r="N64" s="232"/>
    </row>
    <row r="65" spans="1:14" ht="21.75" customHeight="1" thickBot="1" x14ac:dyDescent="0.25">
      <c r="A65" s="131" t="s">
        <v>110</v>
      </c>
      <c r="B65" s="51"/>
      <c r="C65" s="52"/>
      <c r="D65" s="21">
        <f t="shared" si="6"/>
        <v>0</v>
      </c>
      <c r="E65" s="64"/>
      <c r="F65" s="60">
        <f t="shared" si="7"/>
        <v>0</v>
      </c>
      <c r="G65" s="272">
        <f t="shared" si="8"/>
        <v>0</v>
      </c>
      <c r="H65" s="350">
        <f t="shared" si="9"/>
        <v>0</v>
      </c>
      <c r="I65" s="225"/>
      <c r="J65" s="493" t="s">
        <v>379</v>
      </c>
      <c r="K65" s="492"/>
      <c r="L65" s="224"/>
      <c r="M65" s="184" t="s">
        <v>457</v>
      </c>
      <c r="N65" s="232"/>
    </row>
    <row r="66" spans="1:14" ht="21.75" customHeight="1" thickBot="1" x14ac:dyDescent="0.25">
      <c r="A66" s="132" t="s">
        <v>111</v>
      </c>
      <c r="B66" s="300"/>
      <c r="C66" s="133"/>
      <c r="D66" s="134">
        <f t="shared" ref="D66" si="10">IF(ISERROR(C66*B66),0,C66*B66)</f>
        <v>0</v>
      </c>
      <c r="E66" s="135"/>
      <c r="F66" s="136">
        <f t="shared" si="7"/>
        <v>0</v>
      </c>
      <c r="G66" s="273">
        <f t="shared" si="8"/>
        <v>0</v>
      </c>
      <c r="H66" s="351">
        <f t="shared" si="9"/>
        <v>0</v>
      </c>
      <c r="I66" s="276"/>
      <c r="J66" s="493" t="s">
        <v>379</v>
      </c>
      <c r="K66" s="492"/>
      <c r="L66" s="224"/>
      <c r="M66" s="184" t="s">
        <v>457</v>
      </c>
      <c r="N66" s="232"/>
    </row>
    <row r="67" spans="1:14" ht="21.75" customHeight="1" thickTop="1" x14ac:dyDescent="0.25"/>
    <row r="68" spans="1:14" ht="21.75" customHeight="1" x14ac:dyDescent="0.25"/>
    <row r="69" spans="1:14" ht="21.75" customHeight="1" x14ac:dyDescent="0.25"/>
    <row r="70" spans="1:14" ht="21.75" customHeight="1" x14ac:dyDescent="0.25"/>
    <row r="71" spans="1:14" ht="21.75" customHeight="1" x14ac:dyDescent="0.25"/>
    <row r="72" spans="1:14" ht="21.75" customHeight="1" x14ac:dyDescent="0.25"/>
    <row r="73" spans="1:14" ht="21.75" customHeight="1" x14ac:dyDescent="0.25"/>
    <row r="74" spans="1:14" ht="21.75" customHeight="1" x14ac:dyDescent="0.25"/>
    <row r="75" spans="1:14" ht="15.75" x14ac:dyDescent="0.2">
      <c r="A75" s="25"/>
      <c r="B75" s="26"/>
      <c r="C75" s="27"/>
      <c r="D75" s="28"/>
      <c r="E75" s="29"/>
      <c r="F75" s="30"/>
      <c r="G75" s="30"/>
      <c r="H75" s="31"/>
    </row>
    <row r="76" spans="1:14" ht="14.25" x14ac:dyDescent="0.2">
      <c r="B76"/>
    </row>
    <row r="77" spans="1:14" ht="14.25" x14ac:dyDescent="0.2">
      <c r="B77"/>
    </row>
    <row r="78" spans="1:14" ht="14.25" x14ac:dyDescent="0.2">
      <c r="B78"/>
    </row>
    <row r="79" spans="1:14" ht="14.25" x14ac:dyDescent="0.2">
      <c r="B79"/>
    </row>
    <row r="80" spans="1:14" ht="14.25" x14ac:dyDescent="0.2">
      <c r="B80"/>
    </row>
    <row r="81" spans="2:2" ht="14.25" x14ac:dyDescent="0.2">
      <c r="B81"/>
    </row>
    <row r="82" spans="2:2" ht="14.25" x14ac:dyDescent="0.2">
      <c r="B82"/>
    </row>
    <row r="83" spans="2:2" ht="14.25" x14ac:dyDescent="0.2">
      <c r="B83"/>
    </row>
    <row r="84" spans="2:2" ht="14.25" x14ac:dyDescent="0.2">
      <c r="B84"/>
    </row>
    <row r="85" spans="2:2" ht="14.25" x14ac:dyDescent="0.2">
      <c r="B85"/>
    </row>
    <row r="86" spans="2:2" ht="14.25" x14ac:dyDescent="0.2">
      <c r="B86"/>
    </row>
    <row r="87" spans="2:2" ht="14.25" x14ac:dyDescent="0.2">
      <c r="B87"/>
    </row>
    <row r="88" spans="2:2" ht="14.25" x14ac:dyDescent="0.2">
      <c r="B88"/>
    </row>
    <row r="89" spans="2:2" ht="14.25" x14ac:dyDescent="0.2">
      <c r="B89"/>
    </row>
    <row r="90" spans="2:2" ht="14.25" x14ac:dyDescent="0.2">
      <c r="B90"/>
    </row>
    <row r="91" spans="2:2" ht="14.25" x14ac:dyDescent="0.2">
      <c r="B91"/>
    </row>
    <row r="92" spans="2:2" ht="14.25" x14ac:dyDescent="0.2">
      <c r="B92"/>
    </row>
    <row r="93" spans="2:2" ht="14.25" x14ac:dyDescent="0.2">
      <c r="B93"/>
    </row>
    <row r="94" spans="2:2" ht="14.25" x14ac:dyDescent="0.2">
      <c r="B94"/>
    </row>
    <row r="95" spans="2:2" ht="14.25" x14ac:dyDescent="0.2">
      <c r="B95"/>
    </row>
    <row r="96" spans="2:2" ht="14.25" x14ac:dyDescent="0.2">
      <c r="B96"/>
    </row>
    <row r="97" spans="2:2" ht="14.25" x14ac:dyDescent="0.2">
      <c r="B97"/>
    </row>
    <row r="98" spans="2:2" ht="14.25" x14ac:dyDescent="0.2">
      <c r="B98"/>
    </row>
    <row r="99" spans="2:2" ht="14.25" x14ac:dyDescent="0.2">
      <c r="B99"/>
    </row>
    <row r="100" spans="2:2" ht="14.25" x14ac:dyDescent="0.2">
      <c r="B100"/>
    </row>
    <row r="101" spans="2:2" ht="14.25" x14ac:dyDescent="0.2">
      <c r="B101"/>
    </row>
    <row r="102" spans="2:2" ht="14.25" x14ac:dyDescent="0.2">
      <c r="B102"/>
    </row>
    <row r="103" spans="2:2" ht="14.25" x14ac:dyDescent="0.2">
      <c r="B103"/>
    </row>
    <row r="104" spans="2:2" ht="14.25" x14ac:dyDescent="0.2">
      <c r="B104"/>
    </row>
    <row r="105" spans="2:2" ht="14.25" x14ac:dyDescent="0.2">
      <c r="B105"/>
    </row>
    <row r="106" spans="2:2" ht="14.25" x14ac:dyDescent="0.2">
      <c r="B106"/>
    </row>
    <row r="107" spans="2:2" ht="14.25" x14ac:dyDescent="0.2">
      <c r="B107"/>
    </row>
    <row r="108" spans="2:2" ht="14.25" x14ac:dyDescent="0.2">
      <c r="B108"/>
    </row>
    <row r="109" spans="2:2" ht="14.25" x14ac:dyDescent="0.2">
      <c r="B109"/>
    </row>
    <row r="110" spans="2:2" ht="14.25" x14ac:dyDescent="0.2">
      <c r="B110"/>
    </row>
    <row r="111" spans="2:2" ht="14.25" x14ac:dyDescent="0.2">
      <c r="B111"/>
    </row>
    <row r="112" spans="2:2" ht="14.25" x14ac:dyDescent="0.2">
      <c r="B112"/>
    </row>
    <row r="113" spans="2:2" ht="14.25" x14ac:dyDescent="0.2">
      <c r="B113"/>
    </row>
    <row r="114" spans="2:2" ht="14.25" x14ac:dyDescent="0.2">
      <c r="B114"/>
    </row>
    <row r="115" spans="2:2" ht="14.25" x14ac:dyDescent="0.2">
      <c r="B115"/>
    </row>
    <row r="116" spans="2:2" ht="14.25" x14ac:dyDescent="0.2">
      <c r="B116"/>
    </row>
    <row r="117" spans="2:2" ht="14.25" x14ac:dyDescent="0.2">
      <c r="B117"/>
    </row>
    <row r="118" spans="2:2" ht="14.25" x14ac:dyDescent="0.2">
      <c r="B118"/>
    </row>
    <row r="119" spans="2:2" ht="14.25" x14ac:dyDescent="0.2">
      <c r="B119"/>
    </row>
    <row r="120" spans="2:2" ht="14.25" x14ac:dyDescent="0.2">
      <c r="B120"/>
    </row>
    <row r="121" spans="2:2" ht="14.25" x14ac:dyDescent="0.2">
      <c r="B121"/>
    </row>
    <row r="122" spans="2:2" ht="14.25" x14ac:dyDescent="0.2">
      <c r="B122"/>
    </row>
    <row r="123" spans="2:2" ht="14.25" x14ac:dyDescent="0.2">
      <c r="B123"/>
    </row>
    <row r="124" spans="2:2" ht="14.25" x14ac:dyDescent="0.2">
      <c r="B124"/>
    </row>
    <row r="125" spans="2:2" ht="14.25" x14ac:dyDescent="0.2">
      <c r="B125"/>
    </row>
    <row r="126" spans="2:2" ht="14.25" x14ac:dyDescent="0.2">
      <c r="B126"/>
    </row>
    <row r="127" spans="2:2" ht="14.25" x14ac:dyDescent="0.2">
      <c r="B127"/>
    </row>
    <row r="128" spans="2:2" ht="14.25" x14ac:dyDescent="0.2">
      <c r="B128"/>
    </row>
    <row r="129" spans="2:2" ht="14.25" x14ac:dyDescent="0.2">
      <c r="B129"/>
    </row>
    <row r="130" spans="2:2" ht="14.25" x14ac:dyDescent="0.2">
      <c r="B130"/>
    </row>
  </sheetData>
  <sheetProtection algorithmName="SHA-512" hashValue="jZTi+27U6y4ITYiv1aGtTcO3Xf9KrSmkpXDXR1xNaYQmWkCSs3KbhKUbZag3MHoz2qD3gs/2ks1q4MujuDNOhQ==" saltValue="G8rfMUb2SiyqagDTMoTxgg==" spinCount="100000" sheet="1" objects="1" scenarios="1"/>
  <mergeCells count="19">
    <mergeCell ref="J62:K62"/>
    <mergeCell ref="J63:K63"/>
    <mergeCell ref="J64:K64"/>
    <mergeCell ref="J65:K65"/>
    <mergeCell ref="J66:K66"/>
    <mergeCell ref="E1:H1"/>
    <mergeCell ref="M1:N2"/>
    <mergeCell ref="J3:K3"/>
    <mergeCell ref="J4:L5"/>
    <mergeCell ref="J12:L13"/>
    <mergeCell ref="M3:N3"/>
    <mergeCell ref="J60:K60"/>
    <mergeCell ref="J61:K61"/>
    <mergeCell ref="J6:K7"/>
    <mergeCell ref="L6:L7"/>
    <mergeCell ref="J8:K9"/>
    <mergeCell ref="L8:L9"/>
    <mergeCell ref="J10:K11"/>
    <mergeCell ref="L10:L11"/>
  </mergeCells>
  <conditionalFormatting sqref="E2:E3">
    <cfRule type="expression" dxfId="54" priority="49">
      <formula>SUM($E$4:$E$66)=0</formula>
    </cfRule>
  </conditionalFormatting>
  <conditionalFormatting sqref="I1:I2">
    <cfRule type="expression" dxfId="53" priority="16">
      <formula>OR($I$2="",$I$2=0)</formula>
    </cfRule>
  </conditionalFormatting>
  <conditionalFormatting sqref="I60:I66">
    <cfRule type="expression" dxfId="52" priority="1">
      <formula>AND(E60&gt;0,I60="")</formula>
    </cfRule>
    <cfRule type="expression" dxfId="51" priority="12">
      <formula>$I60&lt;&gt;""</formula>
    </cfRule>
  </conditionalFormatting>
  <conditionalFormatting sqref="J60:J66">
    <cfRule type="expression" dxfId="50" priority="2">
      <formula>$J60="insektenblütig JA / NEIN:"</formula>
    </cfRule>
  </conditionalFormatting>
  <conditionalFormatting sqref="J3:L3">
    <cfRule type="expression" dxfId="49" priority="6">
      <formula>AND($L$3&gt;0.6,$L$3&lt;&gt;"0 %",$J$2&gt;0)</formula>
    </cfRule>
    <cfRule type="expression" dxfId="48" priority="9">
      <formula>$L$3="0 %"</formula>
    </cfRule>
  </conditionalFormatting>
  <conditionalFormatting sqref="J4:L5">
    <cfRule type="expression" dxfId="47" priority="3">
      <formula>$L$6=""</formula>
    </cfRule>
  </conditionalFormatting>
  <conditionalFormatting sqref="J6:L7">
    <cfRule type="expression" dxfId="46" priority="4">
      <formula>$L$6=""</formula>
    </cfRule>
  </conditionalFormatting>
  <conditionalFormatting sqref="L60:L66">
    <cfRule type="expression" dxfId="45" priority="14">
      <formula>AND($J60="insektenblütig JA / NEIN:",$L60&lt;&gt;"")</formula>
    </cfRule>
  </conditionalFormatting>
  <conditionalFormatting sqref="M3:N3">
    <cfRule type="expression" dxfId="44" priority="8">
      <formula>AND($L$3&gt;0.6,$L$3&lt;&gt;"0 %",$J$2&gt;0)</formula>
    </cfRule>
  </conditionalFormatting>
  <conditionalFormatting sqref="N60:N66">
    <cfRule type="expression" dxfId="43" priority="11">
      <formula>$N60&lt;&gt;""</formula>
    </cfRule>
  </conditionalFormatting>
  <hyperlinks>
    <hyperlink ref="M1:N2" location="'Zusammenfassung int. Prod.'!A1" display="'Zusammenfassung int. Prod.'!A1" xr:uid="{00000000-0004-0000-0100-000000000000}"/>
  </hyperlinks>
  <pageMargins left="0.7" right="0.7" top="0.78740157499999996" bottom="0.78740157499999996" header="0.3" footer="0.3"/>
  <pageSetup paperSize="9" scale="48" fitToHeight="3"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xr:uid="{00000000-0002-0000-0100-000000000000}">
          <x14:formula1>
            <xm:f>'Konventionell (2)'!$AB$3:$AB$14</xm:f>
          </x14:formula1>
          <xm:sqref>I60:I66</xm:sqref>
        </x14:dataValidation>
        <x14:dataValidation type="list" allowBlank="1" showInputMessage="1" showErrorMessage="1" xr:uid="{00000000-0002-0000-0100-000001000000}">
          <x14:formula1>
            <xm:f>'Konventionell (2)'!$AC$3:$AC$5</xm:f>
          </x14:formula1>
          <xm:sqref>L60:L66</xm:sqref>
        </x14:dataValidation>
        <x14:dataValidation type="list" allowBlank="1" showInputMessage="1" showErrorMessage="1" xr:uid="{00000000-0002-0000-0100-000002000000}">
          <x14:formula1>
            <xm:f>'Konventionell (2)'!$AD$3:$AD$9</xm:f>
          </x14:formula1>
          <xm:sqref>N60:N66</xm:sqref>
        </x14:dataValidation>
        <x14:dataValidation type="list" allowBlank="1" showInputMessage="1" showErrorMessage="1" errorTitle="nur Vorauswahl möglich" error="nur vorgegebene Dünger auswählbar" xr:uid="{00000000-0002-0000-0100-000003000000}">
          <x14:formula1>
            <xm:f>'Konventionell (2)'!$AE$3:$AE$10</xm:f>
          </x14:formula1>
          <xm:sqref>L6:L7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249977111117893"/>
    <pageSetUpPr fitToPage="1"/>
  </sheetPr>
  <dimension ref="A1:P106"/>
  <sheetViews>
    <sheetView zoomScale="85" zoomScaleNormal="85" workbookViewId="0">
      <selection sqref="A1:I1"/>
    </sheetView>
  </sheetViews>
  <sheetFormatPr baseColWidth="10" defaultRowHeight="14.25" x14ac:dyDescent="0.2"/>
  <cols>
    <col min="1" max="1" width="29.5" customWidth="1"/>
    <col min="2" max="2" width="13" customWidth="1"/>
    <col min="3" max="3" width="14.625" customWidth="1"/>
    <col min="4" max="4" width="24.75" bestFit="1" customWidth="1"/>
    <col min="5" max="5" width="24.875" bestFit="1" customWidth="1"/>
    <col min="6" max="6" width="16.625" customWidth="1"/>
    <col min="7" max="7" width="20" customWidth="1"/>
    <col min="8" max="8" width="19.375" customWidth="1"/>
    <col min="9" max="9" width="18.125" customWidth="1"/>
    <col min="10" max="13" width="16.625" customWidth="1"/>
    <col min="15" max="16" width="11" hidden="1" customWidth="1"/>
    <col min="17" max="17" width="11" customWidth="1"/>
  </cols>
  <sheetData>
    <row r="1" spans="1:15" ht="39" customHeight="1" thickBot="1" x14ac:dyDescent="0.25">
      <c r="A1" s="559" t="str">
        <f>IF(OR('Begr.-Rechner int. Prod.'!$A$2="Name der Mischung",'Begr.-Rechner int. Prod.'!$A$2=""),"Zusammenfassung der gewählten Kulturen",CONCATENATE("Zusammenfassung der Komponeten der Mischung: ",'Begr.-Rechner int. Prod.'!$A$2))</f>
        <v>Zusammenfassung der gewählten Kulturen</v>
      </c>
      <c r="B1" s="560"/>
      <c r="C1" s="560"/>
      <c r="D1" s="560"/>
      <c r="E1" s="560"/>
      <c r="F1" s="560"/>
      <c r="G1" s="560"/>
      <c r="H1" s="560"/>
      <c r="I1" s="561"/>
      <c r="J1" s="538" t="s">
        <v>384</v>
      </c>
      <c r="K1" s="539"/>
      <c r="L1" s="544" t="s">
        <v>305</v>
      </c>
      <c r="M1" s="545"/>
    </row>
    <row r="2" spans="1:15" ht="15" thickBot="1" x14ac:dyDescent="0.25">
      <c r="J2" s="540"/>
      <c r="K2" s="541"/>
      <c r="L2" s="546"/>
      <c r="M2" s="547"/>
    </row>
    <row r="3" spans="1:15" ht="58.5" customHeight="1" thickBot="1" x14ac:dyDescent="0.25">
      <c r="A3" s="265" t="s">
        <v>286</v>
      </c>
      <c r="B3" s="265" t="s">
        <v>290</v>
      </c>
      <c r="C3" s="265" t="s">
        <v>292</v>
      </c>
      <c r="D3" s="265" t="s">
        <v>287</v>
      </c>
      <c r="E3" s="264" t="str">
        <f>CONCATENATE("Kosten in € für die Gesamtfläche von ",'Begr.-Rechner int. Prod.'!$I$2," ha")</f>
        <v>Kosten in € für die Gesamtfläche von  ha</v>
      </c>
      <c r="F3" s="550" t="s">
        <v>465</v>
      </c>
      <c r="G3" s="551"/>
      <c r="H3" s="550" t="s">
        <v>548</v>
      </c>
      <c r="I3" s="551"/>
      <c r="J3" s="542"/>
      <c r="K3" s="543"/>
      <c r="L3" s="548"/>
      <c r="M3" s="549"/>
    </row>
    <row r="4" spans="1:15" ht="21.75" customHeight="1" thickBot="1" x14ac:dyDescent="0.25">
      <c r="A4" s="147" t="str">
        <f>IF('Begr.-Rechner int. Prod.'!$I$2&lt;&gt;"",CONCATENATE('Begr.-Rechner int. Prod.'!$I$2," ha"),"")</f>
        <v/>
      </c>
      <c r="B4" s="147" t="str">
        <f>IF('Begr.-Rechner int. Prod.'!$J$2&gt;0,CONCATENATE('Begr.-Rechner int. Prod.'!$J$2, " kg/ha"),"")</f>
        <v/>
      </c>
      <c r="C4" s="147" t="str">
        <f>IF('Begr.-Rechner int. Prod.'!$K$2&gt;0,CONCATENATE('Begr.-Rechner int. Prod.'!$K$2," €"),"")</f>
        <v/>
      </c>
      <c r="D4" s="345" t="str">
        <f>IF('Begr.-Rechner int. Prod.'!$L$2&gt;0,'Begr.-Rechner int. Prod.'!$L$2,"")</f>
        <v/>
      </c>
      <c r="E4" s="147" t="str">
        <f>IF(ROUND(SUM(F7:F39),0)&gt;0,CONCATENATE(ROUND(SUM(F7:F39),0)," €"),"")</f>
        <v/>
      </c>
      <c r="F4" s="552" t="str">
        <f>IF(AND('Konventionell (2)'!Z3="",'Konventionell (2)'!Z4="",'Konventionell (2)'!Z5="",'Konventionell (2)'!Z6="",'Konventionell (2)'!Z7="",'Konventionell (2)'!Z8="",'Konventionell (2)'!Z9="",'Konventionell (2)'!J2&gt;0),'Konventionell (2)'!Z10,CONCATENATE('Konventionell (2)'!Z3,'Konventionell (2)'!Z4,'Konventionell (2)'!Z5,'Konventionell (2)'!Z6,'Konventionell (2)'!Z7,'Konventionell (2)'!Z8,'Konventionell (2)'!Z9))</f>
        <v/>
      </c>
      <c r="G4" s="553"/>
      <c r="H4" s="556" t="str">
        <f>IF(AND($D4&gt;0,P40=0),P40,IF(AND($D4&gt;0,P40&gt;0),P40,""))</f>
        <v/>
      </c>
      <c r="I4" s="557"/>
      <c r="J4" s="554" t="str">
        <f>IF('Konventionell (2)'!$R$3="ja","* zulässige Begrünungskulturen gem. Variante 6 beachten:
- Grünschnittroggen nach Saatgutgesetz,
- Wintererbse lt. Saatgutgesetz,
- Pannonische Wicke, Zottelwicke; Winterackerbohne, Winterrübsen (inkl. Perko)","")</f>
        <v/>
      </c>
      <c r="K4" s="554"/>
      <c r="L4" s="554"/>
      <c r="M4" s="554"/>
    </row>
    <row r="5" spans="1:15" ht="15" thickBot="1" x14ac:dyDescent="0.25">
      <c r="F5" s="536"/>
      <c r="G5" s="537"/>
      <c r="J5" s="555"/>
      <c r="K5" s="555"/>
      <c r="L5" s="555"/>
      <c r="M5" s="555"/>
    </row>
    <row r="6" spans="1:15" ht="30" customHeight="1" thickBot="1" x14ac:dyDescent="0.25">
      <c r="A6" s="265" t="s">
        <v>289</v>
      </c>
      <c r="B6" s="267" t="s">
        <v>858</v>
      </c>
      <c r="C6" s="268" t="s">
        <v>1</v>
      </c>
      <c r="D6" s="267" t="s">
        <v>288</v>
      </c>
      <c r="E6" s="269" t="s">
        <v>293</v>
      </c>
      <c r="F6" s="270" t="s">
        <v>291</v>
      </c>
      <c r="G6" s="270" t="s">
        <v>312</v>
      </c>
      <c r="H6" s="550" t="s">
        <v>547</v>
      </c>
      <c r="I6" s="551"/>
      <c r="J6" s="555"/>
      <c r="K6" s="555"/>
      <c r="L6" s="555"/>
      <c r="M6" s="555"/>
    </row>
    <row r="7" spans="1:15" ht="24.95" customHeight="1" thickBot="1" x14ac:dyDescent="0.25">
      <c r="A7" s="418" t="str">
        <f t="array" ref="A7">IFERROR(INDEX('Konventionell (2)'!A:A,SMALL(IF('Konventionell (2)'!$E$3:$E$65&gt;0,ROW($3:$65)),ROW(A1))),"")</f>
        <v/>
      </c>
      <c r="B7" s="419" t="str">
        <f t="array" ref="B7">IFERROR(INDEX('Konventionell (2)'!E:E,SMALL(IF('Konventionell (2)'!$E$3:$E$65&gt;0,ROW($3:$65)),ROW(A1))),"")</f>
        <v/>
      </c>
      <c r="C7" s="420" t="str">
        <f t="array" ref="C7">IFERROR(INDEX('Konventionell (2)'!F:F,SMALL(IF('Konventionell (2)'!$E$3:$E$65&gt;0,ROW($3:$65)),ROW(A1))),"")</f>
        <v/>
      </c>
      <c r="D7" s="421" t="str">
        <f t="array" ref="D7">IFERROR(INDEX('Konventionell (2)'!G:G,SMALL(IF('Konventionell (2)'!$E$3:$E$65&gt;0,ROW($3:$65)),ROW(A1))),"")</f>
        <v/>
      </c>
      <c r="E7" s="419" t="str">
        <f t="array" ref="E7">IFERROR(INDEX('Konventionell (2)'!H:H,SMALL(IF('Konventionell (2)'!$E$3:$E$65&gt;0,ROW($3:$65)),ROW(A1))),"")</f>
        <v/>
      </c>
      <c r="F7" s="326" t="str">
        <f>IF(A7="","",C7*'Begr.-Rechner int. Prod.'!$I$2)</f>
        <v/>
      </c>
      <c r="G7" s="148" t="str">
        <f>IFERROR(VLOOKUP(A7,'Konventionell (2)'!$A$3:$I$68,9,0),"")</f>
        <v/>
      </c>
      <c r="H7" s="562" t="s">
        <v>1080</v>
      </c>
      <c r="I7" s="563" t="str">
        <f>'Begr.-Rechner int. Prod.'!L8</f>
        <v>60 kg N ab Lager</v>
      </c>
      <c r="J7" s="555"/>
      <c r="K7" s="555"/>
      <c r="L7" s="555"/>
      <c r="M7" s="555"/>
      <c r="O7" s="231">
        <f t="shared" ref="O7:O39" si="0">IF($G7="Leguminose",D7,0)</f>
        <v>0</v>
      </c>
    </row>
    <row r="8" spans="1:15" ht="24.95" customHeight="1" thickBot="1" x14ac:dyDescent="0.25">
      <c r="A8" s="418" t="str">
        <f t="array" ref="A8">IFERROR(INDEX('Konventionell (2)'!A:A,SMALL(IF('Konventionell (2)'!$E$3:$E$65&gt;0,ROW($3:$65)),ROW(A2))),"")</f>
        <v/>
      </c>
      <c r="B8" s="419" t="str">
        <f t="array" ref="B8">IFERROR(INDEX('Konventionell (2)'!E:E,SMALL(IF('Konventionell (2)'!$E$3:$E$65&gt;0,ROW($3:$65)),ROW(A2))),"")</f>
        <v/>
      </c>
      <c r="C8" s="420" t="str">
        <f t="array" ref="C8">IFERROR(INDEX('Konventionell (2)'!F:F,SMALL(IF('Konventionell (2)'!$E$3:$E$65&gt;0,ROW($3:$65)),ROW(A2))),"")</f>
        <v/>
      </c>
      <c r="D8" s="421" t="str">
        <f t="array" ref="D8">IFERROR(INDEX('Konventionell (2)'!G:G,SMALL(IF('Konventionell (2)'!$E$3:$E$65&gt;0,ROW($3:$65)),ROW(A2))),"")</f>
        <v/>
      </c>
      <c r="E8" s="419" t="str">
        <f t="array" ref="E8">IFERROR(INDEX('Konventionell (2)'!H:H,SMALL(IF('Konventionell (2)'!$E$3:$E$65&gt;0,ROW($3:$65)),ROW(A2))),"")</f>
        <v/>
      </c>
      <c r="F8" s="326" t="str">
        <f>IF(A8="","",C8*'Begr.-Rechner int. Prod.'!$I$2)</f>
        <v/>
      </c>
      <c r="G8" s="148" t="str">
        <f>IFERROR(VLOOKUP(A8,'Konventionell (2)'!$A$3:$I$68,9,0),"")</f>
        <v/>
      </c>
      <c r="H8" s="562"/>
      <c r="I8" s="563"/>
      <c r="J8" s="558" t="str">
        <f>IF(AND(H4&gt;0.6,'Begr.-Rechner int. Prod.'!J2&gt;0),"ACHTUNG Vorfruchtwirkung beachten: 
- ungenutzte ZWF &gt; 60 % Leguminosenanteil: 20 kg
- genutzte ZWF &gt; 60% Leguminosenanteil: 10 kg N
  HINWEIS: es zählt Bestand am Feld, dieser Hinweis ist ausschließlich als 
  Orientierungshilfe zu sehen.","")</f>
        <v/>
      </c>
      <c r="K8" s="555"/>
      <c r="L8" s="555"/>
      <c r="M8" s="555"/>
      <c r="O8" s="231">
        <f t="shared" si="0"/>
        <v>0</v>
      </c>
    </row>
    <row r="9" spans="1:15" ht="24.95" customHeight="1" thickBot="1" x14ac:dyDescent="0.25">
      <c r="A9" s="418" t="str">
        <f t="array" ref="A9">IFERROR(INDEX('Konventionell (2)'!A:A,SMALL(IF('Konventionell (2)'!$E$3:$E$65&gt;0,ROW($3:$65)),ROW(A3))),"")</f>
        <v/>
      </c>
      <c r="B9" s="419" t="str">
        <f t="array" ref="B9">IFERROR(INDEX('Konventionell (2)'!E:E,SMALL(IF('Konventionell (2)'!$E$3:$E$65&gt;0,ROW($3:$65)),ROW(A3))),"")</f>
        <v/>
      </c>
      <c r="C9" s="420" t="str">
        <f t="array" ref="C9">IFERROR(INDEX('Konventionell (2)'!F:F,SMALL(IF('Konventionell (2)'!$E$3:$E$65&gt;0,ROW($3:$65)),ROW(A3))),"")</f>
        <v/>
      </c>
      <c r="D9" s="421" t="str">
        <f t="array" ref="D9">IFERROR(INDEX('Konventionell (2)'!G:G,SMALL(IF('Konventionell (2)'!$E$3:$E$65&gt;0,ROW($3:$65)),ROW(A3))),"")</f>
        <v/>
      </c>
      <c r="E9" s="419" t="str">
        <f t="array" ref="E9">IFERROR(INDEX('Konventionell (2)'!H:H,SMALL(IF('Konventionell (2)'!$E$3:$E$65&gt;0,ROW($3:$65)),ROW(A3))),"")</f>
        <v/>
      </c>
      <c r="F9" s="326" t="str">
        <f>IF(A9="","",C9*'Begr.-Rechner int. Prod.'!$I$2)</f>
        <v/>
      </c>
      <c r="G9" s="148" t="str">
        <f>IFERROR(VLOOKUP(A9,'Konventionell (2)'!$A$3:$I$68,9,0),"")</f>
        <v/>
      </c>
      <c r="H9" s="562" t="s">
        <v>1087</v>
      </c>
      <c r="I9" s="563" t="str">
        <f>'Begr.-Rechner int. Prod.'!L10</f>
        <v>60 kg N ab Lager</v>
      </c>
      <c r="J9" s="558"/>
      <c r="K9" s="555"/>
      <c r="L9" s="555"/>
      <c r="M9" s="555"/>
      <c r="O9" s="231">
        <f t="shared" si="0"/>
        <v>0</v>
      </c>
    </row>
    <row r="10" spans="1:15" ht="24.95" customHeight="1" thickBot="1" x14ac:dyDescent="0.25">
      <c r="A10" s="418" t="str">
        <f t="array" ref="A10">IFERROR(INDEX('Konventionell (2)'!A:A,SMALL(IF('Konventionell (2)'!$E$3:$E$65&gt;0,ROW($3:$65)),ROW(A4))),"")</f>
        <v/>
      </c>
      <c r="B10" s="419" t="str">
        <f t="array" ref="B10">IFERROR(INDEX('Konventionell (2)'!E:E,SMALL(IF('Konventionell (2)'!$E$3:$E$65&gt;0,ROW($3:$65)),ROW(A4))),"")</f>
        <v/>
      </c>
      <c r="C10" s="420" t="str">
        <f t="array" ref="C10">IFERROR(INDEX('Konventionell (2)'!F:F,SMALL(IF('Konventionell (2)'!$E$3:$E$65&gt;0,ROW($3:$65)),ROW(A4))),"")</f>
        <v/>
      </c>
      <c r="D10" s="421" t="str">
        <f t="array" ref="D10">IFERROR(INDEX('Konventionell (2)'!G:G,SMALL(IF('Konventionell (2)'!$E$3:$E$65&gt;0,ROW($3:$65)),ROW(A4))),"")</f>
        <v/>
      </c>
      <c r="E10" s="419" t="str">
        <f t="array" ref="E10">IFERROR(INDEX('Konventionell (2)'!H:H,SMALL(IF('Konventionell (2)'!$E$3:$E$65&gt;0,ROW($3:$65)),ROW(A4))),"")</f>
        <v/>
      </c>
      <c r="F10" s="326" t="str">
        <f>IF(A10="","",C10*'Begr.-Rechner int. Prod.'!$I$2)</f>
        <v/>
      </c>
      <c r="G10" s="148" t="str">
        <f>IFERROR(VLOOKUP(A10,'Konventionell (2)'!$A$3:$I$68,9,0),"")</f>
        <v/>
      </c>
      <c r="H10" s="562"/>
      <c r="I10" s="563"/>
      <c r="J10" s="558"/>
      <c r="K10" s="555"/>
      <c r="L10" s="555"/>
      <c r="M10" s="555"/>
      <c r="O10" s="231">
        <f t="shared" si="0"/>
        <v>0</v>
      </c>
    </row>
    <row r="11" spans="1:15" ht="24.95" customHeight="1" thickBot="1" x14ac:dyDescent="0.25">
      <c r="A11" s="418" t="str">
        <f t="array" ref="A11">IFERROR(INDEX('Konventionell (2)'!A:A,SMALL(IF('Konventionell (2)'!$E$3:$E$65&gt;0,ROW($3:$65)),ROW(A5))),"")</f>
        <v/>
      </c>
      <c r="B11" s="419" t="str">
        <f t="array" ref="B11">IFERROR(INDEX('Konventionell (2)'!E:E,SMALL(IF('Konventionell (2)'!$E$3:$E$65&gt;0,ROW($3:$65)),ROW(A5))),"")</f>
        <v/>
      </c>
      <c r="C11" s="420" t="str">
        <f t="array" ref="C11">IFERROR(INDEX('Konventionell (2)'!F:F,SMALL(IF('Konventionell (2)'!$E$3:$E$65&gt;0,ROW($3:$65)),ROW(A5))),"")</f>
        <v/>
      </c>
      <c r="D11" s="421" t="str">
        <f t="array" ref="D11">IFERROR(INDEX('Konventionell (2)'!G:G,SMALL(IF('Konventionell (2)'!$E$3:$E$65&gt;0,ROW($3:$65)),ROW(A5))),"")</f>
        <v/>
      </c>
      <c r="E11" s="419" t="str">
        <f t="array" ref="E11">IFERROR(INDEX('Konventionell (2)'!H:H,SMALL(IF('Konventionell (2)'!$E$3:$E$65&gt;0,ROW($3:$65)),ROW(A5))),"")</f>
        <v/>
      </c>
      <c r="F11" s="326" t="str">
        <f>IF(A11="","",C11*'Begr.-Rechner int. Prod.'!$I$2)</f>
        <v/>
      </c>
      <c r="G11" s="148" t="str">
        <f>IFERROR(VLOOKUP(A11,'Konventionell (2)'!$A$3:$I$68,9,0),"")</f>
        <v/>
      </c>
      <c r="H11" s="562"/>
      <c r="I11" s="563"/>
      <c r="J11" s="558"/>
      <c r="K11" s="555"/>
      <c r="L11" s="555"/>
      <c r="M11" s="555"/>
      <c r="O11" s="231">
        <f t="shared" si="0"/>
        <v>0</v>
      </c>
    </row>
    <row r="12" spans="1:15" ht="24.95" customHeight="1" x14ac:dyDescent="0.2">
      <c r="A12" s="418" t="str">
        <f t="array" ref="A12">IFERROR(INDEX('Konventionell (2)'!A:A,SMALL(IF('Konventionell (2)'!$E$3:$E$65&gt;0,ROW($3:$65)),ROW(A6))),"")</f>
        <v/>
      </c>
      <c r="B12" s="419" t="str">
        <f t="array" ref="B12">IFERROR(INDEX('Konventionell (2)'!E:E,SMALL(IF('Konventionell (2)'!$E$3:$E$65&gt;0,ROW($3:$65)),ROW(A6))),"")</f>
        <v/>
      </c>
      <c r="C12" s="420" t="str">
        <f t="array" ref="C12">IFERROR(INDEX('Konventionell (2)'!F:F,SMALL(IF('Konventionell (2)'!$E$3:$E$65&gt;0,ROW($3:$65)),ROW(A6))),"")</f>
        <v/>
      </c>
      <c r="D12" s="421" t="str">
        <f t="array" ref="D12">IFERROR(INDEX('Konventionell (2)'!G:G,SMALL(IF('Konventionell (2)'!$E$3:$E$65&gt;0,ROW($3:$65)),ROW(A6))),"")</f>
        <v/>
      </c>
      <c r="E12" s="419" t="str">
        <f t="array" ref="E12">IFERROR(INDEX('Konventionell (2)'!H:H,SMALL(IF('Konventionell (2)'!$E$3:$E$65&gt;0,ROW($3:$65)),ROW(A6))),"")</f>
        <v/>
      </c>
      <c r="F12" s="326" t="str">
        <f>IF(A12="","",C12*'Begr.-Rechner int. Prod.'!$I$2)</f>
        <v/>
      </c>
      <c r="G12" s="148" t="str">
        <f>IFERROR(VLOOKUP(A12,'Konventionell (2)'!$A$3:$I$68,9,0),"")</f>
        <v/>
      </c>
      <c r="H12" s="532" t="s">
        <v>1081</v>
      </c>
      <c r="I12" s="533"/>
      <c r="J12" s="558"/>
      <c r="K12" s="555"/>
      <c r="L12" s="555"/>
      <c r="M12" s="555"/>
      <c r="O12" s="231">
        <f t="shared" si="0"/>
        <v>0</v>
      </c>
    </row>
    <row r="13" spans="1:15" ht="24.95" customHeight="1" x14ac:dyDescent="0.2">
      <c r="A13" s="418" t="str">
        <f t="array" ref="A13">IFERROR(INDEX('Konventionell (2)'!A:A,SMALL(IF('Konventionell (2)'!$E$3:$E$65&gt;0,ROW($3:$65)),ROW(A7))),"")</f>
        <v/>
      </c>
      <c r="B13" s="419" t="str">
        <f t="array" ref="B13">IFERROR(INDEX('Konventionell (2)'!E:E,SMALL(IF('Konventionell (2)'!$E$3:$E$65&gt;0,ROW($3:$65)),ROW(A7))),"")</f>
        <v/>
      </c>
      <c r="C13" s="420" t="str">
        <f t="array" ref="C13">IFERROR(INDEX('Konventionell (2)'!F:F,SMALL(IF('Konventionell (2)'!$E$3:$E$65&gt;0,ROW($3:$65)),ROW(A7))),"")</f>
        <v/>
      </c>
      <c r="D13" s="421" t="str">
        <f t="array" ref="D13">IFERROR(INDEX('Konventionell (2)'!G:G,SMALL(IF('Konventionell (2)'!$E$3:$E$65&gt;0,ROW($3:$65)),ROW(A7))),"")</f>
        <v/>
      </c>
      <c r="E13" s="419" t="str">
        <f t="array" ref="E13">IFERROR(INDEX('Konventionell (2)'!H:H,SMALL(IF('Konventionell (2)'!$E$3:$E$65&gt;0,ROW($3:$65)),ROW(A7))),"")</f>
        <v/>
      </c>
      <c r="F13" s="326" t="str">
        <f>IF(A13="","",C13*'Begr.-Rechner int. Prod.'!$I$2)</f>
        <v/>
      </c>
      <c r="G13" s="148" t="str">
        <f>IFERROR(VLOOKUP(A13,'Konventionell (2)'!$A$3:$I$68,9,0),"")</f>
        <v/>
      </c>
      <c r="H13" s="447"/>
      <c r="I13" s="449"/>
      <c r="O13" s="231">
        <f t="shared" si="0"/>
        <v>0</v>
      </c>
    </row>
    <row r="14" spans="1:15" ht="24.95" customHeight="1" x14ac:dyDescent="0.2">
      <c r="A14" s="418" t="str">
        <f t="array" ref="A14">IFERROR(INDEX('Konventionell (2)'!A:A,SMALL(IF('Konventionell (2)'!$E$3:$E$65&gt;0,ROW($3:$65)),ROW(A8))),"")</f>
        <v/>
      </c>
      <c r="B14" s="419" t="str">
        <f t="array" ref="B14">IFERROR(INDEX('Konventionell (2)'!E:E,SMALL(IF('Konventionell (2)'!$E$3:$E$65&gt;0,ROW($3:$65)),ROW(A8))),"")</f>
        <v/>
      </c>
      <c r="C14" s="420" t="str">
        <f t="array" ref="C14">IFERROR(INDEX('Konventionell (2)'!F:F,SMALL(IF('Konventionell (2)'!$E$3:$E$65&gt;0,ROW($3:$65)),ROW(A8))),"")</f>
        <v/>
      </c>
      <c r="D14" s="421" t="str">
        <f t="array" ref="D14">IFERROR(INDEX('Konventionell (2)'!G:G,SMALL(IF('Konventionell (2)'!$E$3:$E$65&gt;0,ROW($3:$65)),ROW(A8))),"")</f>
        <v/>
      </c>
      <c r="E14" s="419" t="str">
        <f t="array" ref="E14">IFERROR(INDEX('Konventionell (2)'!H:H,SMALL(IF('Konventionell (2)'!$E$3:$E$65&gt;0,ROW($3:$65)),ROW(A8))),"")</f>
        <v/>
      </c>
      <c r="F14" s="326" t="str">
        <f>IF(A14="","",C14*'Begr.-Rechner int. Prod.'!$I$2)</f>
        <v/>
      </c>
      <c r="G14" s="148" t="str">
        <f>IFERROR(VLOOKUP(A14,'Konventionell (2)'!$A$3:$I$68,9,0),"")</f>
        <v/>
      </c>
      <c r="H14" s="447"/>
      <c r="I14" s="449"/>
      <c r="O14" s="231">
        <f t="shared" si="0"/>
        <v>0</v>
      </c>
    </row>
    <row r="15" spans="1:15" ht="24.95" customHeight="1" x14ac:dyDescent="0.2">
      <c r="A15" s="418" t="str">
        <f t="array" ref="A15">IFERROR(INDEX('Konventionell (2)'!A:A,SMALL(IF('Konventionell (2)'!$E$3:$E$65&gt;0,ROW($3:$65)),ROW(A9))),"")</f>
        <v/>
      </c>
      <c r="B15" s="419" t="str">
        <f t="array" ref="B15">IFERROR(INDEX('Konventionell (2)'!E:E,SMALL(IF('Konventionell (2)'!$E$3:$E$65&gt;0,ROW($3:$65)),ROW(A9))),"")</f>
        <v/>
      </c>
      <c r="C15" s="420" t="str">
        <f t="array" ref="C15">IFERROR(INDEX('Konventionell (2)'!F:F,SMALL(IF('Konventionell (2)'!$E$3:$E$65&gt;0,ROW($3:$65)),ROW(A9))),"")</f>
        <v/>
      </c>
      <c r="D15" s="421" t="str">
        <f t="array" ref="D15">IFERROR(INDEX('Konventionell (2)'!G:G,SMALL(IF('Konventionell (2)'!$E$3:$E$65&gt;0,ROW($3:$65)),ROW(A9))),"")</f>
        <v/>
      </c>
      <c r="E15" s="419" t="str">
        <f t="array" ref="E15">IFERROR(INDEX('Konventionell (2)'!H:H,SMALL(IF('Konventionell (2)'!$E$3:$E$65&gt;0,ROW($3:$65)),ROW(A9))),"")</f>
        <v/>
      </c>
      <c r="F15" s="326" t="str">
        <f>IF(A15="","",C15*'Begr.-Rechner int. Prod.'!$I$2)</f>
        <v/>
      </c>
      <c r="G15" s="148" t="str">
        <f>IFERROR(VLOOKUP(A15,'Konventionell (2)'!$A$3:$I$68,9,0),"")</f>
        <v/>
      </c>
      <c r="H15" s="447"/>
      <c r="I15" s="449"/>
      <c r="O15" s="231">
        <f t="shared" si="0"/>
        <v>0</v>
      </c>
    </row>
    <row r="16" spans="1:15" ht="24.95" customHeight="1" thickBot="1" x14ac:dyDescent="0.25">
      <c r="A16" s="418" t="str">
        <f t="array" ref="A16">IFERROR(INDEX('Konventionell (2)'!A:A,SMALL(IF('Konventionell (2)'!$E$3:$E$65&gt;0,ROW($3:$65)),ROW(A10))),"")</f>
        <v/>
      </c>
      <c r="B16" s="419" t="str">
        <f t="array" ref="B16">IFERROR(INDEX('Konventionell (2)'!E:E,SMALL(IF('Konventionell (2)'!$E$3:$E$65&gt;0,ROW($3:$65)),ROW(A10))),"")</f>
        <v/>
      </c>
      <c r="C16" s="420" t="str">
        <f t="array" ref="C16">IFERROR(INDEX('Konventionell (2)'!F:F,SMALL(IF('Konventionell (2)'!$E$3:$E$65&gt;0,ROW($3:$65)),ROW(A10))),"")</f>
        <v/>
      </c>
      <c r="D16" s="421" t="str">
        <f t="array" ref="D16">IFERROR(INDEX('Konventionell (2)'!G:G,SMALL(IF('Konventionell (2)'!$E$3:$E$65&gt;0,ROW($3:$65)),ROW(A10))),"")</f>
        <v/>
      </c>
      <c r="E16" s="419" t="str">
        <f t="array" ref="E16">IFERROR(INDEX('Konventionell (2)'!H:H,SMALL(IF('Konventionell (2)'!$E$3:$E$65&gt;0,ROW($3:$65)),ROW(A10))),"")</f>
        <v/>
      </c>
      <c r="F16" s="326" t="str">
        <f>IF(A16="","",C16*'Begr.-Rechner int. Prod.'!$I$2)</f>
        <v/>
      </c>
      <c r="G16" s="148" t="str">
        <f>IFERROR(VLOOKUP(A16,'Konventionell (2)'!$A$3:$I$68,9,0),"")</f>
        <v/>
      </c>
      <c r="H16" s="534"/>
      <c r="I16" s="535"/>
      <c r="O16" s="231">
        <f t="shared" si="0"/>
        <v>0</v>
      </c>
    </row>
    <row r="17" spans="1:16" ht="24.95" customHeight="1" x14ac:dyDescent="0.2">
      <c r="A17" s="418" t="str">
        <f t="array" ref="A17">IFERROR(INDEX('Konventionell (2)'!A:A,SMALL(IF('Konventionell (2)'!$E$3:$E$65&gt;0,ROW($3:$65)),ROW(A11))),"")</f>
        <v/>
      </c>
      <c r="B17" s="419" t="str">
        <f t="array" ref="B17">IFERROR(INDEX('Konventionell (2)'!E:E,SMALL(IF('Konventionell (2)'!$E$3:$E$65&gt;0,ROW($3:$65)),ROW(A11))),"")</f>
        <v/>
      </c>
      <c r="C17" s="420" t="str">
        <f t="array" ref="C17">IFERROR(INDEX('Konventionell (2)'!F:F,SMALL(IF('Konventionell (2)'!$E$3:$E$65&gt;0,ROW($3:$65)),ROW(A11))),"")</f>
        <v/>
      </c>
      <c r="D17" s="421" t="str">
        <f t="array" ref="D17">IFERROR(INDEX('Konventionell (2)'!G:G,SMALL(IF('Konventionell (2)'!$E$3:$E$65&gt;0,ROW($3:$65)),ROW(A11))),"")</f>
        <v/>
      </c>
      <c r="E17" s="419" t="str">
        <f t="array" ref="E17">IFERROR(INDEX('Konventionell (2)'!H:H,SMALL(IF('Konventionell (2)'!$E$3:$E$65&gt;0,ROW($3:$65)),ROW(A11))),"")</f>
        <v/>
      </c>
      <c r="F17" s="326" t="str">
        <f>IF(A17="","",C17*'Begr.-Rechner int. Prod.'!$I$2)</f>
        <v/>
      </c>
      <c r="G17" s="148" t="str">
        <f>IFERROR(VLOOKUP(A17,'Konventionell (2)'!$A$3:$I$68,9,0),"")</f>
        <v/>
      </c>
      <c r="H17" s="148"/>
      <c r="I17" s="148"/>
      <c r="O17" s="231">
        <f t="shared" si="0"/>
        <v>0</v>
      </c>
    </row>
    <row r="18" spans="1:16" ht="24.95" customHeight="1" x14ac:dyDescent="0.2">
      <c r="A18" s="418" t="str">
        <f t="array" ref="A18">IFERROR(INDEX('Konventionell (2)'!A:A,SMALL(IF('Konventionell (2)'!$E$3:$E$65&gt;0,ROW($3:$65)),ROW(A12))),"")</f>
        <v/>
      </c>
      <c r="B18" s="419" t="str">
        <f t="array" ref="B18">IFERROR(INDEX('Konventionell (2)'!E:E,SMALL(IF('Konventionell (2)'!$E$3:$E$65&gt;0,ROW($3:$65)),ROW(A12))),"")</f>
        <v/>
      </c>
      <c r="C18" s="420" t="str">
        <f t="array" ref="C18">IFERROR(INDEX('Konventionell (2)'!F:F,SMALL(IF('Konventionell (2)'!$E$3:$E$65&gt;0,ROW($3:$65)),ROW(A12))),"")</f>
        <v/>
      </c>
      <c r="D18" s="421" t="str">
        <f t="array" ref="D18">IFERROR(INDEX('Konventionell (2)'!G:G,SMALL(IF('Konventionell (2)'!$E$3:$E$65&gt;0,ROW($3:$65)),ROW(A12))),"")</f>
        <v/>
      </c>
      <c r="E18" s="419" t="str">
        <f t="array" ref="E18">IFERROR(INDEX('Konventionell (2)'!H:H,SMALL(IF('Konventionell (2)'!$E$3:$E$65&gt;0,ROW($3:$65)),ROW(A12))),"")</f>
        <v/>
      </c>
      <c r="F18" s="326" t="str">
        <f>IF(A18="","",C18*'Begr.-Rechner int. Prod.'!$I$2)</f>
        <v/>
      </c>
      <c r="G18" s="148" t="str">
        <f>IFERROR(VLOOKUP(A18,'Konventionell (2)'!$A$3:$I$68,9,0),"")</f>
        <v/>
      </c>
      <c r="H18" s="148"/>
      <c r="I18" s="148"/>
      <c r="O18" s="231">
        <f t="shared" si="0"/>
        <v>0</v>
      </c>
    </row>
    <row r="19" spans="1:16" ht="24.95" customHeight="1" x14ac:dyDescent="0.2">
      <c r="A19" s="418" t="str">
        <f t="array" ref="A19">IFERROR(INDEX('Konventionell (2)'!A:A,SMALL(IF('Konventionell (2)'!$E$3:$E$65&gt;0,ROW($3:$65)),ROW(A13))),"")</f>
        <v/>
      </c>
      <c r="B19" s="419" t="str">
        <f t="array" ref="B19">IFERROR(INDEX('Konventionell (2)'!E:E,SMALL(IF('Konventionell (2)'!$E$3:$E$65&gt;0,ROW($3:$65)),ROW(A13))),"")</f>
        <v/>
      </c>
      <c r="C19" s="420" t="str">
        <f t="array" ref="C19">IFERROR(INDEX('Konventionell (2)'!F:F,SMALL(IF('Konventionell (2)'!$E$3:$E$65&gt;0,ROW($3:$65)),ROW(A13))),"")</f>
        <v/>
      </c>
      <c r="D19" s="421" t="str">
        <f t="array" ref="D19">IFERROR(INDEX('Konventionell (2)'!G:G,SMALL(IF('Konventionell (2)'!$E$3:$E$65&gt;0,ROW($3:$65)),ROW(A13))),"")</f>
        <v/>
      </c>
      <c r="E19" s="419" t="str">
        <f t="array" ref="E19">IFERROR(INDEX('Konventionell (2)'!H:H,SMALL(IF('Konventionell (2)'!$E$3:$E$65&gt;0,ROW($3:$65)),ROW(A13))),"")</f>
        <v/>
      </c>
      <c r="F19" s="326" t="str">
        <f>IF(A19="","",C19*'Begr.-Rechner int. Prod.'!$I$2)</f>
        <v/>
      </c>
      <c r="G19" s="148" t="str">
        <f>IFERROR(VLOOKUP(A19,'Konventionell (2)'!$A$3:$I$68,9,0),"")</f>
        <v/>
      </c>
      <c r="H19" s="148"/>
      <c r="I19" s="148"/>
      <c r="O19" s="231">
        <f t="shared" si="0"/>
        <v>0</v>
      </c>
    </row>
    <row r="20" spans="1:16" ht="24.95" customHeight="1" x14ac:dyDescent="0.2">
      <c r="A20" s="418" t="str">
        <f t="array" ref="A20">IFERROR(INDEX('Konventionell (2)'!A:A,SMALL(IF('Konventionell (2)'!$E$3:$E$65&gt;0,ROW($3:$65)),ROW(A14))),"")</f>
        <v/>
      </c>
      <c r="B20" s="419" t="str">
        <f t="array" ref="B20">IFERROR(INDEX('Konventionell (2)'!E:E,SMALL(IF('Konventionell (2)'!$E$3:$E$65&gt;0,ROW($3:$65)),ROW(A14))),"")</f>
        <v/>
      </c>
      <c r="C20" s="420" t="str">
        <f t="array" ref="C20">IFERROR(INDEX('Konventionell (2)'!F:F,SMALL(IF('Konventionell (2)'!$E$3:$E$65&gt;0,ROW($3:$65)),ROW(A14))),"")</f>
        <v/>
      </c>
      <c r="D20" s="421" t="str">
        <f t="array" ref="D20">IFERROR(INDEX('Konventionell (2)'!G:G,SMALL(IF('Konventionell (2)'!$E$3:$E$65&gt;0,ROW($3:$65)),ROW(A14))),"")</f>
        <v/>
      </c>
      <c r="E20" s="419" t="str">
        <f t="array" ref="E20">IFERROR(INDEX('Konventionell (2)'!H:H,SMALL(IF('Konventionell (2)'!$E$3:$E$65&gt;0,ROW($3:$65)),ROW(A14))),"")</f>
        <v/>
      </c>
      <c r="F20" s="326" t="str">
        <f>IF(A20="","",C20*'Begr.-Rechner int. Prod.'!$I$2)</f>
        <v/>
      </c>
      <c r="G20" s="148" t="str">
        <f>IFERROR(VLOOKUP(A20,'Konventionell (2)'!$A$3:$I$68,9,0),"")</f>
        <v/>
      </c>
      <c r="H20" s="148"/>
      <c r="I20" s="148"/>
      <c r="O20" s="231">
        <f t="shared" si="0"/>
        <v>0</v>
      </c>
    </row>
    <row r="21" spans="1:16" ht="24.95" customHeight="1" x14ac:dyDescent="0.2">
      <c r="A21" s="418" t="str">
        <f t="array" ref="A21">IFERROR(INDEX('Konventionell (2)'!A:A,SMALL(IF('Konventionell (2)'!$E$3:$E$65&gt;0,ROW($3:$65)),ROW(A15))),"")</f>
        <v/>
      </c>
      <c r="B21" s="419" t="str">
        <f t="array" ref="B21">IFERROR(INDEX('Konventionell (2)'!E:E,SMALL(IF('Konventionell (2)'!$E$3:$E$65&gt;0,ROW($3:$65)),ROW(A15))),"")</f>
        <v/>
      </c>
      <c r="C21" s="420" t="str">
        <f t="array" ref="C21">IFERROR(INDEX('Konventionell (2)'!F:F,SMALL(IF('Konventionell (2)'!$E$3:$E$65&gt;0,ROW($3:$65)),ROW(A15))),"")</f>
        <v/>
      </c>
      <c r="D21" s="421" t="str">
        <f t="array" ref="D21">IFERROR(INDEX('Konventionell (2)'!G:G,SMALL(IF('Konventionell (2)'!$E$3:$E$65&gt;0,ROW($3:$65)),ROW(A15))),"")</f>
        <v/>
      </c>
      <c r="E21" s="419" t="str">
        <f t="array" ref="E21">IFERROR(INDEX('Konventionell (2)'!H:H,SMALL(IF('Konventionell (2)'!$E$3:$E$65&gt;0,ROW($3:$65)),ROW(A15))),"")</f>
        <v/>
      </c>
      <c r="F21" s="326" t="str">
        <f>IF(A21="","",C21*'Begr.-Rechner int. Prod.'!$I$2)</f>
        <v/>
      </c>
      <c r="G21" s="148" t="str">
        <f>IFERROR(VLOOKUP(A21,'Konventionell (2)'!$A$3:$I$68,9,0),"")</f>
        <v/>
      </c>
      <c r="H21" s="148"/>
      <c r="I21" s="148"/>
      <c r="O21" s="231">
        <f t="shared" si="0"/>
        <v>0</v>
      </c>
    </row>
    <row r="22" spans="1:16" ht="24.95" customHeight="1" x14ac:dyDescent="0.2">
      <c r="A22" s="418" t="str">
        <f t="array" ref="A22">IFERROR(INDEX('Konventionell (2)'!A:A,SMALL(IF('Konventionell (2)'!$E$3:$E$65&gt;0,ROW($3:$65)),ROW(A16))),"")</f>
        <v/>
      </c>
      <c r="B22" s="419" t="str">
        <f t="array" ref="B22">IFERROR(INDEX('Konventionell (2)'!E:E,SMALL(IF('Konventionell (2)'!$E$3:$E$65&gt;0,ROW($3:$65)),ROW(A16))),"")</f>
        <v/>
      </c>
      <c r="C22" s="420" t="str">
        <f t="array" ref="C22">IFERROR(INDEX('Konventionell (2)'!F:F,SMALL(IF('Konventionell (2)'!$E$3:$E$65&gt;0,ROW($3:$65)),ROW(A16))),"")</f>
        <v/>
      </c>
      <c r="D22" s="421" t="str">
        <f t="array" ref="D22">IFERROR(INDEX('Konventionell (2)'!G:G,SMALL(IF('Konventionell (2)'!$E$3:$E$65&gt;0,ROW($3:$65)),ROW(A16))),"")</f>
        <v/>
      </c>
      <c r="E22" s="419" t="str">
        <f t="array" ref="E22">IFERROR(INDEX('Konventionell (2)'!H:H,SMALL(IF('Konventionell (2)'!$E$3:$E$65&gt;0,ROW($3:$65)),ROW(A16))),"")</f>
        <v/>
      </c>
      <c r="F22" s="326" t="str">
        <f>IF(A22="","",C22*'Begr.-Rechner int. Prod.'!$I$2)</f>
        <v/>
      </c>
      <c r="G22" s="148" t="str">
        <f>IFERROR(VLOOKUP(A22,'Konventionell (2)'!$A$3:$I$68,9,0),"")</f>
        <v/>
      </c>
      <c r="H22" s="148"/>
      <c r="I22" s="148"/>
      <c r="O22" s="231">
        <f t="shared" si="0"/>
        <v>0</v>
      </c>
    </row>
    <row r="23" spans="1:16" ht="24.95" customHeight="1" x14ac:dyDescent="0.2">
      <c r="A23" s="418" t="str">
        <f t="array" ref="A23">IFERROR(INDEX('Konventionell (2)'!A:A,SMALL(IF('Konventionell (2)'!$E$3:$E$65&gt;0,ROW($3:$65)),ROW(A17))),"")</f>
        <v/>
      </c>
      <c r="B23" s="419" t="str">
        <f t="array" ref="B23">IFERROR(INDEX('Konventionell (2)'!E:E,SMALL(IF('Konventionell (2)'!$E$3:$E$65&gt;0,ROW($3:$65)),ROW(A17))),"")</f>
        <v/>
      </c>
      <c r="C23" s="420" t="str">
        <f t="array" ref="C23">IFERROR(INDEX('Konventionell (2)'!F:F,SMALL(IF('Konventionell (2)'!$E$3:$E$65&gt;0,ROW($3:$65)),ROW(A17))),"")</f>
        <v/>
      </c>
      <c r="D23" s="421" t="str">
        <f t="array" ref="D23">IFERROR(INDEX('Konventionell (2)'!G:G,SMALL(IF('Konventionell (2)'!$E$3:$E$65&gt;0,ROW($3:$65)),ROW(A17))),"")</f>
        <v/>
      </c>
      <c r="E23" s="419" t="str">
        <f t="array" ref="E23">IFERROR(INDEX('Konventionell (2)'!H:H,SMALL(IF('Konventionell (2)'!$E$3:$E$65&gt;0,ROW($3:$65)),ROW(A17))),"")</f>
        <v/>
      </c>
      <c r="F23" s="326" t="str">
        <f>IF(A23="","",C23*'Begr.-Rechner int. Prod.'!$I$2)</f>
        <v/>
      </c>
      <c r="G23" s="148" t="str">
        <f>IFERROR(VLOOKUP(A23,'Konventionell (2)'!$A$3:$I$68,9,0),"")</f>
        <v/>
      </c>
      <c r="H23" s="148"/>
      <c r="I23" s="148"/>
      <c r="O23" s="231">
        <f t="shared" si="0"/>
        <v>0</v>
      </c>
    </row>
    <row r="24" spans="1:16" ht="24.95" customHeight="1" x14ac:dyDescent="0.2">
      <c r="A24" s="418" t="str">
        <f t="array" ref="A24">IFERROR(INDEX('Konventionell (2)'!A:A,SMALL(IF('Konventionell (2)'!$E$3:$E$65&gt;0,ROW($3:$65)),ROW(A18))),"")</f>
        <v/>
      </c>
      <c r="B24" s="419" t="str">
        <f t="array" ref="B24">IFERROR(INDEX('Konventionell (2)'!E:E,SMALL(IF('Konventionell (2)'!$E$3:$E$65&gt;0,ROW($3:$65)),ROW(A18))),"")</f>
        <v/>
      </c>
      <c r="C24" s="420" t="str">
        <f t="array" ref="C24">IFERROR(INDEX('Konventionell (2)'!F:F,SMALL(IF('Konventionell (2)'!$E$3:$E$65&gt;0,ROW($3:$65)),ROW(A18))),"")</f>
        <v/>
      </c>
      <c r="D24" s="421" t="str">
        <f t="array" ref="D24">IFERROR(INDEX('Konventionell (2)'!G:G,SMALL(IF('Konventionell (2)'!$E$3:$E$65&gt;0,ROW($3:$65)),ROW(A18))),"")</f>
        <v/>
      </c>
      <c r="E24" s="419" t="str">
        <f t="array" ref="E24">IFERROR(INDEX('Konventionell (2)'!H:H,SMALL(IF('Konventionell (2)'!$E$3:$E$65&gt;0,ROW($3:$65)),ROW(A18))),"")</f>
        <v/>
      </c>
      <c r="F24" s="326" t="str">
        <f>IF(A24="","",C24*'Begr.-Rechner int. Prod.'!$I$2)</f>
        <v/>
      </c>
      <c r="G24" s="148" t="str">
        <f>IFERROR(VLOOKUP(A24,'Konventionell (2)'!$A$3:$I$68,9,0),"")</f>
        <v/>
      </c>
      <c r="H24" s="148"/>
      <c r="I24" s="148"/>
      <c r="O24" s="231">
        <f t="shared" si="0"/>
        <v>0</v>
      </c>
    </row>
    <row r="25" spans="1:16" ht="24.95" customHeight="1" x14ac:dyDescent="0.2">
      <c r="A25" s="418" t="str">
        <f t="array" ref="A25">IFERROR(INDEX('Konventionell (2)'!A:A,SMALL(IF('Konventionell (2)'!$E$3:$E$65&gt;0,ROW($3:$65)),ROW(A19))),"")</f>
        <v/>
      </c>
      <c r="B25" s="419" t="str">
        <f t="array" ref="B25">IFERROR(INDEX('Konventionell (2)'!E:E,SMALL(IF('Konventionell (2)'!$E$3:$E$65&gt;0,ROW($3:$65)),ROW(A19))),"")</f>
        <v/>
      </c>
      <c r="C25" s="420" t="str">
        <f t="array" ref="C25">IFERROR(INDEX('Konventionell (2)'!F:F,SMALL(IF('Konventionell (2)'!$E$3:$E$65&gt;0,ROW($3:$65)),ROW(A19))),"")</f>
        <v/>
      </c>
      <c r="D25" s="421" t="str">
        <f t="array" ref="D25">IFERROR(INDEX('Konventionell (2)'!G:G,SMALL(IF('Konventionell (2)'!$E$3:$E$65&gt;0,ROW($3:$65)),ROW(A19))),"")</f>
        <v/>
      </c>
      <c r="E25" s="419" t="str">
        <f t="array" ref="E25">IFERROR(INDEX('Konventionell (2)'!H:H,SMALL(IF('Konventionell (2)'!$E$3:$E$65&gt;0,ROW($3:$65)),ROW(A19))),"")</f>
        <v/>
      </c>
      <c r="F25" s="326" t="str">
        <f>IF(A25="","",C25*'Begr.-Rechner int. Prod.'!$I$2)</f>
        <v/>
      </c>
      <c r="G25" s="148" t="str">
        <f>IFERROR(VLOOKUP(A25,'Konventionell (2)'!$A$3:$I$68,9,0),"")</f>
        <v/>
      </c>
      <c r="H25" s="148"/>
      <c r="I25" s="148"/>
      <c r="O25" s="231">
        <f t="shared" si="0"/>
        <v>0</v>
      </c>
    </row>
    <row r="26" spans="1:16" ht="24.95" customHeight="1" x14ac:dyDescent="0.2">
      <c r="A26" s="418" t="str">
        <f t="array" ref="A26">IFERROR(INDEX('Konventionell (2)'!A:A,SMALL(IF('Konventionell (2)'!$E$3:$E$65&gt;0,ROW($3:$65)),ROW(A20))),"")</f>
        <v/>
      </c>
      <c r="B26" s="419" t="str">
        <f t="array" ref="B26">IFERROR(INDEX('Konventionell (2)'!E:E,SMALL(IF('Konventionell (2)'!$E$3:$E$65&gt;0,ROW($3:$65)),ROW(A20))),"")</f>
        <v/>
      </c>
      <c r="C26" s="420" t="str">
        <f t="array" ref="C26">IFERROR(INDEX('Konventionell (2)'!F:F,SMALL(IF('Konventionell (2)'!$E$3:$E$65&gt;0,ROW($3:$65)),ROW(A20))),"")</f>
        <v/>
      </c>
      <c r="D26" s="421" t="str">
        <f t="array" ref="D26">IFERROR(INDEX('Konventionell (2)'!G:G,SMALL(IF('Konventionell (2)'!$E$3:$E$65&gt;0,ROW($3:$65)),ROW(A20))),"")</f>
        <v/>
      </c>
      <c r="E26" s="419" t="str">
        <f t="array" ref="E26">IFERROR(INDEX('Konventionell (2)'!H:H,SMALL(IF('Konventionell (2)'!$E$3:$E$65&gt;0,ROW($3:$65)),ROW(A20))),"")</f>
        <v/>
      </c>
      <c r="F26" s="326" t="str">
        <f>IF(A26="","",C26*'Begr.-Rechner int. Prod.'!$I$2)</f>
        <v/>
      </c>
      <c r="G26" s="148" t="str">
        <f>IFERROR(VLOOKUP(A26,'Konventionell (2)'!$A$3:$I$68,9,0),"")</f>
        <v/>
      </c>
      <c r="H26" s="148"/>
      <c r="I26" s="148"/>
      <c r="O26" s="231">
        <f t="shared" si="0"/>
        <v>0</v>
      </c>
    </row>
    <row r="27" spans="1:16" ht="24.95" customHeight="1" x14ac:dyDescent="0.2">
      <c r="A27" s="418" t="str">
        <f t="array" ref="A27">IFERROR(INDEX('Konventionell (2)'!A:A,SMALL(IF('Konventionell (2)'!$E$3:$E$65&gt;0,ROW($3:$65)),ROW(A21))),"")</f>
        <v/>
      </c>
      <c r="B27" s="419" t="str">
        <f t="array" ref="B27">IFERROR(INDEX('Konventionell (2)'!E:E,SMALL(IF('Konventionell (2)'!$E$3:$E$65&gt;0,ROW($3:$65)),ROW(A21))),"")</f>
        <v/>
      </c>
      <c r="C27" s="420" t="str">
        <f t="array" ref="C27">IFERROR(INDEX('Konventionell (2)'!F:F,SMALL(IF('Konventionell (2)'!$E$3:$E$65&gt;0,ROW($3:$65)),ROW(A21))),"")</f>
        <v/>
      </c>
      <c r="D27" s="421" t="str">
        <f t="array" ref="D27">IFERROR(INDEX('Konventionell (2)'!G:G,SMALL(IF('Konventionell (2)'!$E$3:$E$65&gt;0,ROW($3:$65)),ROW(A21))),"")</f>
        <v/>
      </c>
      <c r="E27" s="419" t="str">
        <f t="array" ref="E27">IFERROR(INDEX('Konventionell (2)'!H:H,SMALL(IF('Konventionell (2)'!$E$3:$E$65&gt;0,ROW($3:$65)),ROW(A21))),"")</f>
        <v/>
      </c>
      <c r="F27" s="326" t="str">
        <f>IF(A27="","",C27*'Begr.-Rechner int. Prod.'!$I$2)</f>
        <v/>
      </c>
      <c r="G27" s="148" t="str">
        <f>IFERROR(VLOOKUP(A27,'Konventionell (2)'!$A$3:$I$68,9,0),"")</f>
        <v/>
      </c>
      <c r="H27" s="148"/>
      <c r="I27" s="148"/>
      <c r="O27" s="231">
        <f t="shared" si="0"/>
        <v>0</v>
      </c>
    </row>
    <row r="28" spans="1:16" ht="24.95" customHeight="1" x14ac:dyDescent="0.2">
      <c r="A28" s="418" t="str">
        <f t="array" ref="A28">IFERROR(INDEX('Konventionell (2)'!A:A,SMALL(IF('Konventionell (2)'!$E$3:$E$65&gt;0,ROW($3:$65)),ROW(A22))),"")</f>
        <v/>
      </c>
      <c r="B28" s="419" t="str">
        <f t="array" ref="B28">IFERROR(INDEX('Konventionell (2)'!E:E,SMALL(IF('Konventionell (2)'!$E$3:$E$65&gt;0,ROW($3:$65)),ROW(A22))),"")</f>
        <v/>
      </c>
      <c r="C28" s="420" t="str">
        <f t="array" ref="C28">IFERROR(INDEX('Konventionell (2)'!F:F,SMALL(IF('Konventionell (2)'!$E$3:$E$65&gt;0,ROW($3:$65)),ROW(A22))),"")</f>
        <v/>
      </c>
      <c r="D28" s="421" t="str">
        <f t="array" ref="D28">IFERROR(INDEX('Konventionell (2)'!G:G,SMALL(IF('Konventionell (2)'!$E$3:$E$65&gt;0,ROW($3:$65)),ROW(A22))),"")</f>
        <v/>
      </c>
      <c r="E28" s="419" t="str">
        <f t="array" ref="E28">IFERROR(INDEX('Konventionell (2)'!H:H,SMALL(IF('Konventionell (2)'!$E$3:$E$65&gt;0,ROW($3:$65)),ROW(A22))),"")</f>
        <v/>
      </c>
      <c r="F28" s="326" t="str">
        <f>IF(A28="","",C28*'Begr.-Rechner int. Prod.'!$I$2)</f>
        <v/>
      </c>
      <c r="G28" s="148" t="str">
        <f>IFERROR(VLOOKUP(A28,'Konventionell (2)'!$A$3:$I$68,9,0),"")</f>
        <v/>
      </c>
      <c r="H28" s="148"/>
      <c r="I28" s="148"/>
      <c r="O28" s="231">
        <f t="shared" si="0"/>
        <v>0</v>
      </c>
      <c r="P28" s="231"/>
    </row>
    <row r="29" spans="1:16" ht="24.95" customHeight="1" x14ac:dyDescent="0.2">
      <c r="A29" s="418" t="str">
        <f t="array" ref="A29">IFERROR(INDEX('Konventionell (2)'!A:A,SMALL(IF('Konventionell (2)'!$E$3:$E$65&gt;0,ROW($3:$65)),ROW(A23))),"")</f>
        <v/>
      </c>
      <c r="B29" s="419" t="str">
        <f t="array" ref="B29">IFERROR(INDEX('Konventionell (2)'!E:E,SMALL(IF('Konventionell (2)'!$E$3:$E$65&gt;0,ROW($3:$65)),ROW(A23))),"")</f>
        <v/>
      </c>
      <c r="C29" s="420" t="str">
        <f t="array" ref="C29">IFERROR(INDEX('Konventionell (2)'!F:F,SMALL(IF('Konventionell (2)'!$E$3:$E$65&gt;0,ROW($3:$65)),ROW(A23))),"")</f>
        <v/>
      </c>
      <c r="D29" s="421" t="str">
        <f t="array" ref="D29">IFERROR(INDEX('Konventionell (2)'!G:G,SMALL(IF('Konventionell (2)'!$E$3:$E$65&gt;0,ROW($3:$65)),ROW(A23))),"")</f>
        <v/>
      </c>
      <c r="E29" s="419" t="str">
        <f t="array" ref="E29">IFERROR(INDEX('Konventionell (2)'!H:H,SMALL(IF('Konventionell (2)'!$E$3:$E$65&gt;0,ROW($3:$65)),ROW(A23))),"")</f>
        <v/>
      </c>
      <c r="F29" s="326" t="str">
        <f>IF(A29="","",C29*'Begr.-Rechner int. Prod.'!$I$2)</f>
        <v/>
      </c>
      <c r="G29" s="148" t="str">
        <f>IFERROR(VLOOKUP(A29,'Konventionell (2)'!$A$3:$I$68,9,0),"")</f>
        <v/>
      </c>
      <c r="H29" s="148"/>
      <c r="I29" s="148"/>
      <c r="O29" s="231">
        <f t="shared" si="0"/>
        <v>0</v>
      </c>
    </row>
    <row r="30" spans="1:16" ht="24.95" customHeight="1" x14ac:dyDescent="0.2">
      <c r="A30" s="418" t="str">
        <f t="array" ref="A30">IFERROR(INDEX('Konventionell (2)'!A:A,SMALL(IF('Konventionell (2)'!$E$3:$E$65&gt;0,ROW($3:$65)),ROW(A24))),"")</f>
        <v/>
      </c>
      <c r="B30" s="419" t="str">
        <f t="array" ref="B30">IFERROR(INDEX('Konventionell (2)'!E:E,SMALL(IF('Konventionell (2)'!$E$3:$E$65&gt;0,ROW($3:$65)),ROW(A24))),"")</f>
        <v/>
      </c>
      <c r="C30" s="420" t="str">
        <f t="array" ref="C30">IFERROR(INDEX('Konventionell (2)'!F:F,SMALL(IF('Konventionell (2)'!$E$3:$E$65&gt;0,ROW($3:$65)),ROW(A24))),"")</f>
        <v/>
      </c>
      <c r="D30" s="421" t="str">
        <f t="array" ref="D30">IFERROR(INDEX('Konventionell (2)'!G:G,SMALL(IF('Konventionell (2)'!$E$3:$E$65&gt;0,ROW($3:$65)),ROW(A24))),"")</f>
        <v/>
      </c>
      <c r="E30" s="419" t="str">
        <f t="array" ref="E30">IFERROR(INDEX('Konventionell (2)'!H:H,SMALL(IF('Konventionell (2)'!$E$3:$E$65&gt;0,ROW($3:$65)),ROW(A24))),"")</f>
        <v/>
      </c>
      <c r="F30" s="326" t="str">
        <f>IF(A30="","",C30*'Begr.-Rechner int. Prod.'!$I$2)</f>
        <v/>
      </c>
      <c r="G30" s="148" t="str">
        <f>IFERROR(VLOOKUP(A30,'Konventionell (2)'!$A$3:$I$68,9,0),"")</f>
        <v/>
      </c>
      <c r="H30" s="148"/>
      <c r="I30" s="148"/>
      <c r="O30" s="231">
        <f t="shared" si="0"/>
        <v>0</v>
      </c>
    </row>
    <row r="31" spans="1:16" ht="24.95" customHeight="1" x14ac:dyDescent="0.2">
      <c r="A31" s="418" t="str">
        <f t="array" ref="A31">IFERROR(INDEX('Konventionell (2)'!A:A,SMALL(IF('Konventionell (2)'!$E$3:$E$65&gt;0,ROW($3:$65)),ROW(A25))),"")</f>
        <v/>
      </c>
      <c r="B31" s="419" t="str">
        <f t="array" ref="B31">IFERROR(INDEX('Konventionell (2)'!E:E,SMALL(IF('Konventionell (2)'!$E$3:$E$65&gt;0,ROW($3:$65)),ROW(A25))),"")</f>
        <v/>
      </c>
      <c r="C31" s="420" t="str">
        <f t="array" ref="C31">IFERROR(INDEX('Konventionell (2)'!F:F,SMALL(IF('Konventionell (2)'!$E$3:$E$65&gt;0,ROW($3:$65)),ROW(A25))),"")</f>
        <v/>
      </c>
      <c r="D31" s="421" t="str">
        <f t="array" ref="D31">IFERROR(INDEX('Konventionell (2)'!G:G,SMALL(IF('Konventionell (2)'!$E$3:$E$65&gt;0,ROW($3:$65)),ROW(A25))),"")</f>
        <v/>
      </c>
      <c r="E31" s="419" t="str">
        <f t="array" ref="E31">IFERROR(INDEX('Konventionell (2)'!H:H,SMALL(IF('Konventionell (2)'!$E$3:$E$65&gt;0,ROW($3:$65)),ROW(A25))),"")</f>
        <v/>
      </c>
      <c r="F31" s="326" t="str">
        <f>IF(A31="","",C31*'Begr.-Rechner int. Prod.'!$I$2)</f>
        <v/>
      </c>
      <c r="G31" s="148" t="str">
        <f>IFERROR(VLOOKUP(A31,'Konventionell (2)'!$A$3:$I$68,9,0),"")</f>
        <v/>
      </c>
      <c r="H31" s="148"/>
      <c r="I31" s="148"/>
      <c r="O31" s="231">
        <f t="shared" si="0"/>
        <v>0</v>
      </c>
    </row>
    <row r="32" spans="1:16" ht="24.95" customHeight="1" x14ac:dyDescent="0.2">
      <c r="A32" s="418" t="str">
        <f t="array" ref="A32">IFERROR(INDEX('Konventionell (2)'!A:A,SMALL(IF('Konventionell (2)'!$E$3:$E$65&gt;0,ROW($3:$65)),ROW(A26))),"")</f>
        <v/>
      </c>
      <c r="B32" s="419" t="str">
        <f t="array" ref="B32">IFERROR(INDEX('Konventionell (2)'!E:E,SMALL(IF('Konventionell (2)'!$E$3:$E$65&gt;0,ROW($3:$65)),ROW(A26))),"")</f>
        <v/>
      </c>
      <c r="C32" s="420" t="str">
        <f t="array" ref="C32">IFERROR(INDEX('Konventionell (2)'!F:F,SMALL(IF('Konventionell (2)'!$E$3:$E$65&gt;0,ROW($3:$65)),ROW(A26))),"")</f>
        <v/>
      </c>
      <c r="D32" s="421" t="str">
        <f t="array" ref="D32">IFERROR(INDEX('Konventionell (2)'!G:G,SMALL(IF('Konventionell (2)'!$E$3:$E$65&gt;0,ROW($3:$65)),ROW(A26))),"")</f>
        <v/>
      </c>
      <c r="E32" s="419" t="str">
        <f t="array" ref="E32">IFERROR(INDEX('Konventionell (2)'!H:H,SMALL(IF('Konventionell (2)'!$E$3:$E$65&gt;0,ROW($3:$65)),ROW(A26))),"")</f>
        <v/>
      </c>
      <c r="F32" s="326" t="str">
        <f>IF(A32="","",C32*'Begr.-Rechner int. Prod.'!$I$2)</f>
        <v/>
      </c>
      <c r="G32" s="148" t="str">
        <f>IFERROR(VLOOKUP(A32,'Konventionell (2)'!$A$3:$I$68,9,0),"")</f>
        <v/>
      </c>
      <c r="H32" s="148"/>
      <c r="I32" s="148"/>
      <c r="O32" s="231">
        <f t="shared" si="0"/>
        <v>0</v>
      </c>
    </row>
    <row r="33" spans="1:16" ht="24.95" customHeight="1" x14ac:dyDescent="0.2">
      <c r="A33" s="418" t="str">
        <f t="array" ref="A33">IFERROR(INDEX('Konventionell (2)'!A:A,SMALL(IF('Konventionell (2)'!$E$3:$E$65&gt;0,ROW($3:$65)),ROW(A27))),"")</f>
        <v/>
      </c>
      <c r="B33" s="419" t="str">
        <f t="array" ref="B33">IFERROR(INDEX('Konventionell (2)'!E:E,SMALL(IF('Konventionell (2)'!$E$3:$E$65&gt;0,ROW($3:$65)),ROW(A27))),"")</f>
        <v/>
      </c>
      <c r="C33" s="420" t="str">
        <f t="array" ref="C33">IFERROR(INDEX('Konventionell (2)'!F:F,SMALL(IF('Konventionell (2)'!$E$3:$E$65&gt;0,ROW($3:$65)),ROW(A27))),"")</f>
        <v/>
      </c>
      <c r="D33" s="421" t="str">
        <f t="array" ref="D33">IFERROR(INDEX('Konventionell (2)'!G:G,SMALL(IF('Konventionell (2)'!$E$3:$E$65&gt;0,ROW($3:$65)),ROW(A27))),"")</f>
        <v/>
      </c>
      <c r="E33" s="419" t="str">
        <f t="array" ref="E33">IFERROR(INDEX('Konventionell (2)'!H:H,SMALL(IF('Konventionell (2)'!$E$3:$E$65&gt;0,ROW($3:$65)),ROW(A27))),"")</f>
        <v/>
      </c>
      <c r="F33" s="326" t="str">
        <f>IF(A33="","",C33*'Begr.-Rechner int. Prod.'!$I$2)</f>
        <v/>
      </c>
      <c r="G33" s="148" t="str">
        <f>IFERROR(VLOOKUP(A33,'Konventionell (2)'!$A$3:$I$68,9,0),"")</f>
        <v/>
      </c>
      <c r="H33" s="148"/>
      <c r="I33" s="148"/>
      <c r="O33" s="231">
        <f t="shared" si="0"/>
        <v>0</v>
      </c>
    </row>
    <row r="34" spans="1:16" ht="24.95" customHeight="1" x14ac:dyDescent="0.2">
      <c r="A34" s="418" t="str">
        <f t="array" ref="A34">IFERROR(INDEX('Konventionell (2)'!A:A,SMALL(IF('Konventionell (2)'!$E$3:$E$65&gt;0,ROW($3:$65)),ROW(A28))),"")</f>
        <v/>
      </c>
      <c r="B34" s="419" t="str">
        <f t="array" ref="B34">IFERROR(INDEX('Konventionell (2)'!E:E,SMALL(IF('Konventionell (2)'!$E$3:$E$65&gt;0,ROW($3:$65)),ROW(A28))),"")</f>
        <v/>
      </c>
      <c r="C34" s="420" t="str">
        <f t="array" ref="C34">IFERROR(INDEX('Konventionell (2)'!F:F,SMALL(IF('Konventionell (2)'!$E$3:$E$65&gt;0,ROW($3:$65)),ROW(A28))),"")</f>
        <v/>
      </c>
      <c r="D34" s="421" t="str">
        <f t="array" ref="D34">IFERROR(INDEX('Konventionell (2)'!G:G,SMALL(IF('Konventionell (2)'!$E$3:$E$65&gt;0,ROW($3:$65)),ROW(A28))),"")</f>
        <v/>
      </c>
      <c r="E34" s="419" t="str">
        <f t="array" ref="E34">IFERROR(INDEX('Konventionell (2)'!H:H,SMALL(IF('Konventionell (2)'!$E$3:$E$65&gt;0,ROW($3:$65)),ROW(A28))),"")</f>
        <v/>
      </c>
      <c r="F34" s="326" t="str">
        <f>IF(A34="","",C34*'Begr.-Rechner int. Prod.'!$I$2)</f>
        <v/>
      </c>
      <c r="G34" s="148" t="str">
        <f>IFERROR(VLOOKUP(A34,'Konventionell (2)'!$A$3:$I$68,9,0),"")</f>
        <v/>
      </c>
      <c r="H34" s="148"/>
      <c r="I34" s="148"/>
      <c r="O34" s="231">
        <f t="shared" si="0"/>
        <v>0</v>
      </c>
    </row>
    <row r="35" spans="1:16" ht="24.95" customHeight="1" x14ac:dyDescent="0.2">
      <c r="A35" s="418" t="str">
        <f t="array" ref="A35">IFERROR(INDEX('Konventionell (2)'!A:A,SMALL(IF('Konventionell (2)'!$E$3:$E$65&gt;0,ROW($3:$65)),ROW(A29))),"")</f>
        <v/>
      </c>
      <c r="B35" s="419" t="str">
        <f t="array" ref="B35">IFERROR(INDEX('Konventionell (2)'!E:E,SMALL(IF('Konventionell (2)'!$E$3:$E$65&gt;0,ROW($3:$65)),ROW(A29))),"")</f>
        <v/>
      </c>
      <c r="C35" s="420" t="str">
        <f t="array" ref="C35">IFERROR(INDEX('Konventionell (2)'!F:F,SMALL(IF('Konventionell (2)'!$E$3:$E$65&gt;0,ROW($3:$65)),ROW(A29))),"")</f>
        <v/>
      </c>
      <c r="D35" s="421" t="str">
        <f t="array" ref="D35">IFERROR(INDEX('Konventionell (2)'!G:G,SMALL(IF('Konventionell (2)'!$E$3:$E$65&gt;0,ROW($3:$65)),ROW(A29))),"")</f>
        <v/>
      </c>
      <c r="E35" s="419" t="str">
        <f t="array" ref="E35">IFERROR(INDEX('Konventionell (2)'!H:H,SMALL(IF('Konventionell (2)'!$E$3:$E$65&gt;0,ROW($3:$65)),ROW(A29))),"")</f>
        <v/>
      </c>
      <c r="F35" s="326" t="str">
        <f>IF(A35="","",C35*'Begr.-Rechner int. Prod.'!$I$2)</f>
        <v/>
      </c>
      <c r="G35" s="148" t="str">
        <f>IFERROR(VLOOKUP(A35,'Konventionell (2)'!$A$3:$I$68,9,0),"")</f>
        <v/>
      </c>
      <c r="H35" s="148"/>
      <c r="I35" s="148"/>
      <c r="O35" s="231">
        <f t="shared" si="0"/>
        <v>0</v>
      </c>
    </row>
    <row r="36" spans="1:16" ht="24.95" customHeight="1" x14ac:dyDescent="0.2">
      <c r="A36" s="418" t="str">
        <f t="array" ref="A36">IFERROR(INDEX('Konventionell (2)'!A:A,SMALL(IF('Konventionell (2)'!$E$3:$E$65&gt;0,ROW($3:$65)),ROW(A30))),"")</f>
        <v/>
      </c>
      <c r="B36" s="419" t="str">
        <f t="array" ref="B36">IFERROR(INDEX('Konventionell (2)'!E:E,SMALL(IF('Konventionell (2)'!$E$3:$E$65&gt;0,ROW($3:$65)),ROW(A30))),"")</f>
        <v/>
      </c>
      <c r="C36" s="420" t="str">
        <f t="array" ref="C36">IFERROR(INDEX('Konventionell (2)'!F:F,SMALL(IF('Konventionell (2)'!$E$3:$E$65&gt;0,ROW($3:$65)),ROW(A30))),"")</f>
        <v/>
      </c>
      <c r="D36" s="421" t="str">
        <f t="array" ref="D36">IFERROR(INDEX('Konventionell (2)'!G:G,SMALL(IF('Konventionell (2)'!$E$3:$E$65&gt;0,ROW($3:$65)),ROW(A30))),"")</f>
        <v/>
      </c>
      <c r="E36" s="419" t="str">
        <f t="array" ref="E36">IFERROR(INDEX('Konventionell (2)'!H:H,SMALL(IF('Konventionell (2)'!$E$3:$E$65&gt;0,ROW($3:$65)),ROW(A30))),"")</f>
        <v/>
      </c>
      <c r="F36" s="326" t="str">
        <f>IF(A36="","",C36*'Begr.-Rechner int. Prod.'!$I$2)</f>
        <v/>
      </c>
      <c r="G36" s="148" t="str">
        <f>IFERROR(VLOOKUP(A36,'Konventionell (2)'!$A$3:$I$68,9,0),"")</f>
        <v/>
      </c>
      <c r="H36" s="148"/>
      <c r="I36" s="148"/>
      <c r="O36" s="231">
        <f t="shared" si="0"/>
        <v>0</v>
      </c>
    </row>
    <row r="37" spans="1:16" ht="24.95" customHeight="1" x14ac:dyDescent="0.2">
      <c r="A37" s="418" t="str">
        <f t="array" ref="A37">IFERROR(INDEX('Konventionell (2)'!A:A,SMALL(IF('Konventionell (2)'!$E$3:$E$65&gt;0,ROW($3:$65)),ROW(A31))),"")</f>
        <v/>
      </c>
      <c r="B37" s="419" t="str">
        <f t="array" ref="B37">IFERROR(INDEX('Konventionell (2)'!E:E,SMALL(IF('Konventionell (2)'!$E$3:$E$65&gt;0,ROW($3:$65)),ROW(A31))),"")</f>
        <v/>
      </c>
      <c r="C37" s="420" t="str">
        <f t="array" ref="C37">IFERROR(INDEX('Konventionell (2)'!F:F,SMALL(IF('Konventionell (2)'!$E$3:$E$65&gt;0,ROW($3:$65)),ROW(A31))),"")</f>
        <v/>
      </c>
      <c r="D37" s="421" t="str">
        <f t="array" ref="D37">IFERROR(INDEX('Konventionell (2)'!G:G,SMALL(IF('Konventionell (2)'!$E$3:$E$65&gt;0,ROW($3:$65)),ROW(A31))),"")</f>
        <v/>
      </c>
      <c r="E37" s="419" t="str">
        <f t="array" ref="E37">IFERROR(INDEX('Konventionell (2)'!H:H,SMALL(IF('Konventionell (2)'!$E$3:$E$65&gt;0,ROW($3:$65)),ROW(A31))),"")</f>
        <v/>
      </c>
      <c r="F37" s="326" t="str">
        <f>IF(A37="","",C37*'Begr.-Rechner int. Prod.'!$I$2)</f>
        <v/>
      </c>
      <c r="G37" s="148" t="str">
        <f>IFERROR(VLOOKUP(A37,'Konventionell (2)'!$A$3:$I$68,9,0),"")</f>
        <v/>
      </c>
      <c r="H37" s="148"/>
      <c r="I37" s="148"/>
      <c r="O37" s="231">
        <f t="shared" si="0"/>
        <v>0</v>
      </c>
    </row>
    <row r="38" spans="1:16" ht="24.95" customHeight="1" x14ac:dyDescent="0.2">
      <c r="A38" s="418" t="str">
        <f t="array" ref="A38">IFERROR(INDEX('Konventionell (2)'!A:A,SMALL(IF('Konventionell (2)'!$E$3:$E$65&gt;0,ROW($3:$65)),ROW(A32))),"")</f>
        <v/>
      </c>
      <c r="B38" s="419" t="str">
        <f t="array" ref="B38">IFERROR(INDEX('Konventionell (2)'!E:E,SMALL(IF('Konventionell (2)'!$E$3:$E$65&gt;0,ROW($3:$65)),ROW(A32))),"")</f>
        <v/>
      </c>
      <c r="C38" s="420" t="str">
        <f t="array" ref="C38">IFERROR(INDEX('Konventionell (2)'!F:F,SMALL(IF('Konventionell (2)'!$E$3:$E$65&gt;0,ROW($3:$65)),ROW(A32))),"")</f>
        <v/>
      </c>
      <c r="D38" s="421" t="str">
        <f t="array" ref="D38">IFERROR(INDEX('Konventionell (2)'!G:G,SMALL(IF('Konventionell (2)'!$E$3:$E$65&gt;0,ROW($3:$65)),ROW(A32))),"")</f>
        <v/>
      </c>
      <c r="E38" s="419" t="str">
        <f t="array" ref="E38">IFERROR(INDEX('Konventionell (2)'!H:H,SMALL(IF('Konventionell (2)'!$E$3:$E$65&gt;0,ROW($3:$65)),ROW(A32))),"")</f>
        <v/>
      </c>
      <c r="F38" s="326" t="str">
        <f>IF(A38="","",C38*'Begr.-Rechner int. Prod.'!$I$2)</f>
        <v/>
      </c>
      <c r="G38" s="148" t="str">
        <f>IFERROR(VLOOKUP(A38,'Konventionell (2)'!$A$3:$I$68,9,0),"")</f>
        <v/>
      </c>
      <c r="H38" s="148"/>
      <c r="I38" s="148"/>
      <c r="O38" s="231">
        <f t="shared" si="0"/>
        <v>0</v>
      </c>
    </row>
    <row r="39" spans="1:16" ht="24.95" customHeight="1" thickBot="1" x14ac:dyDescent="0.25">
      <c r="A39" s="418" t="str">
        <f t="array" ref="A39">IFERROR(INDEX('Konventionell (2)'!A:A,SMALL(IF('Konventionell (2)'!$E$3:$E$65&gt;0,ROW($3:$65)),ROW(A33))),"")</f>
        <v/>
      </c>
      <c r="B39" s="419" t="str">
        <f t="array" ref="B39">IFERROR(INDEX('Konventionell (2)'!E:E,SMALL(IF('Konventionell (2)'!$E$3:$E$65&gt;0,ROW($3:$65)),ROW(A33))),"")</f>
        <v/>
      </c>
      <c r="C39" s="420" t="str">
        <f t="array" ref="C39">IFERROR(INDEX('Konventionell (2)'!F:F,SMALL(IF('Konventionell (2)'!$E$3:$E$65&gt;0,ROW($3:$65)),ROW(A33))),"")</f>
        <v/>
      </c>
      <c r="D39" s="421" t="str">
        <f t="array" ref="D39">IFERROR(INDEX('Konventionell (2)'!G:G,SMALL(IF('Konventionell (2)'!$E$3:$E$65&gt;0,ROW($3:$65)),ROW(A33))),"")</f>
        <v/>
      </c>
      <c r="E39" s="419" t="str">
        <f t="array" ref="E39">IFERROR(INDEX('Konventionell (2)'!H:H,SMALL(IF('Konventionell (2)'!$E$3:$E$65&gt;0,ROW($3:$65)),ROW(A33))),"")</f>
        <v/>
      </c>
      <c r="F39" s="326" t="str">
        <f>IF(A39="","",C39*'Begr.-Rechner int. Prod.'!$I$2)</f>
        <v/>
      </c>
      <c r="G39" s="148" t="str">
        <f>IFERROR(VLOOKUP(A39,'Konventionell (2)'!$A$3:$I$68,9,0),"")</f>
        <v/>
      </c>
      <c r="H39" s="148"/>
      <c r="I39" s="148"/>
      <c r="O39" s="231">
        <f t="shared" si="0"/>
        <v>0</v>
      </c>
    </row>
    <row r="40" spans="1:16" ht="15" thickBot="1" x14ac:dyDescent="0.25">
      <c r="G40" s="148"/>
      <c r="H40" s="148"/>
      <c r="I40" s="148"/>
      <c r="O40" s="275">
        <f>SUM(O7:O39)</f>
        <v>0</v>
      </c>
      <c r="P40" s="214" t="str">
        <f>IF(D4&lt;&gt;"",O40/D4,"")</f>
        <v/>
      </c>
    </row>
    <row r="41" spans="1:16" x14ac:dyDescent="0.2">
      <c r="G41" s="148"/>
      <c r="H41" s="148"/>
      <c r="I41" s="148"/>
    </row>
    <row r="42" spans="1:16" x14ac:dyDescent="0.2">
      <c r="G42" s="148"/>
      <c r="H42" s="148"/>
      <c r="I42" s="148"/>
    </row>
    <row r="43" spans="1:16" x14ac:dyDescent="0.2">
      <c r="G43" s="148"/>
      <c r="H43" s="148"/>
      <c r="I43" s="148"/>
    </row>
    <row r="44" spans="1:16" x14ac:dyDescent="0.2">
      <c r="G44" s="148"/>
      <c r="H44" s="148"/>
      <c r="I44" s="148"/>
    </row>
    <row r="45" spans="1:16" x14ac:dyDescent="0.2">
      <c r="G45" s="148"/>
      <c r="H45" s="148"/>
      <c r="I45" s="148"/>
    </row>
    <row r="46" spans="1:16" x14ac:dyDescent="0.2">
      <c r="G46" s="148"/>
      <c r="H46" s="148"/>
      <c r="I46" s="148"/>
    </row>
    <row r="47" spans="1:16" x14ac:dyDescent="0.2">
      <c r="G47" s="148"/>
      <c r="H47" s="148"/>
      <c r="I47" s="148"/>
    </row>
    <row r="48" spans="1:16" x14ac:dyDescent="0.2">
      <c r="G48" s="148"/>
      <c r="H48" s="148"/>
      <c r="I48" s="148"/>
    </row>
    <row r="49" spans="7:9" x14ac:dyDescent="0.2">
      <c r="G49" s="148"/>
      <c r="H49" s="148"/>
      <c r="I49" s="148"/>
    </row>
    <row r="50" spans="7:9" x14ac:dyDescent="0.2">
      <c r="G50" s="148"/>
      <c r="H50" s="148"/>
      <c r="I50" s="148"/>
    </row>
    <row r="51" spans="7:9" x14ac:dyDescent="0.2">
      <c r="G51" s="148"/>
      <c r="H51" s="148"/>
      <c r="I51" s="148"/>
    </row>
    <row r="52" spans="7:9" x14ac:dyDescent="0.2">
      <c r="G52" s="148"/>
      <c r="H52" s="148"/>
      <c r="I52" s="148"/>
    </row>
    <row r="53" spans="7:9" x14ac:dyDescent="0.2">
      <c r="G53" s="148"/>
      <c r="H53" s="148"/>
      <c r="I53" s="148"/>
    </row>
    <row r="54" spans="7:9" x14ac:dyDescent="0.2">
      <c r="G54" s="148"/>
      <c r="H54" s="148"/>
      <c r="I54" s="148"/>
    </row>
    <row r="55" spans="7:9" x14ac:dyDescent="0.2">
      <c r="G55" s="148"/>
      <c r="H55" s="148"/>
      <c r="I55" s="148"/>
    </row>
    <row r="56" spans="7:9" x14ac:dyDescent="0.2">
      <c r="G56" s="148"/>
      <c r="H56" s="148"/>
      <c r="I56" s="148"/>
    </row>
    <row r="57" spans="7:9" x14ac:dyDescent="0.2">
      <c r="G57" s="148"/>
      <c r="H57" s="148"/>
      <c r="I57" s="148"/>
    </row>
    <row r="58" spans="7:9" x14ac:dyDescent="0.2">
      <c r="G58" s="148"/>
      <c r="H58" s="148"/>
      <c r="I58" s="148"/>
    </row>
    <row r="59" spans="7:9" x14ac:dyDescent="0.2">
      <c r="G59" s="148"/>
      <c r="H59" s="148"/>
      <c r="I59" s="148"/>
    </row>
    <row r="60" spans="7:9" x14ac:dyDescent="0.2">
      <c r="G60" s="148"/>
      <c r="H60" s="148"/>
      <c r="I60" s="148"/>
    </row>
    <row r="61" spans="7:9" x14ac:dyDescent="0.2">
      <c r="G61" s="148"/>
      <c r="H61" s="148"/>
      <c r="I61" s="148"/>
    </row>
    <row r="62" spans="7:9" x14ac:dyDescent="0.2">
      <c r="G62" s="148"/>
      <c r="H62" s="148"/>
      <c r="I62" s="148"/>
    </row>
    <row r="63" spans="7:9" x14ac:dyDescent="0.2">
      <c r="G63" s="148"/>
      <c r="H63" s="148"/>
      <c r="I63" s="148"/>
    </row>
    <row r="64" spans="7:9" x14ac:dyDescent="0.2">
      <c r="G64" s="148"/>
      <c r="H64" s="148"/>
      <c r="I64" s="148"/>
    </row>
    <row r="65" spans="7:9" x14ac:dyDescent="0.2">
      <c r="G65" s="148"/>
      <c r="H65" s="148"/>
      <c r="I65" s="148"/>
    </row>
    <row r="66" spans="7:9" x14ac:dyDescent="0.2">
      <c r="G66" s="148"/>
      <c r="H66" s="148"/>
      <c r="I66" s="148"/>
    </row>
    <row r="67" spans="7:9" x14ac:dyDescent="0.2">
      <c r="G67" s="148"/>
      <c r="H67" s="148"/>
      <c r="I67" s="148"/>
    </row>
    <row r="68" spans="7:9" x14ac:dyDescent="0.2">
      <c r="G68" s="148"/>
      <c r="H68" s="148"/>
      <c r="I68" s="148"/>
    </row>
    <row r="69" spans="7:9" x14ac:dyDescent="0.2">
      <c r="G69" s="148"/>
      <c r="H69" s="148"/>
      <c r="I69" s="148"/>
    </row>
    <row r="70" spans="7:9" x14ac:dyDescent="0.2">
      <c r="G70" s="148"/>
      <c r="H70" s="148"/>
      <c r="I70" s="148"/>
    </row>
    <row r="71" spans="7:9" x14ac:dyDescent="0.2">
      <c r="G71" s="148"/>
      <c r="H71" s="148"/>
      <c r="I71" s="148"/>
    </row>
    <row r="72" spans="7:9" x14ac:dyDescent="0.2">
      <c r="G72" s="148"/>
      <c r="H72" s="148"/>
      <c r="I72" s="148"/>
    </row>
    <row r="73" spans="7:9" x14ac:dyDescent="0.2">
      <c r="G73" s="148"/>
      <c r="H73" s="148"/>
      <c r="I73" s="148"/>
    </row>
    <row r="74" spans="7:9" x14ac:dyDescent="0.2">
      <c r="G74" s="148"/>
      <c r="H74" s="148"/>
      <c r="I74" s="148"/>
    </row>
    <row r="75" spans="7:9" x14ac:dyDescent="0.2">
      <c r="G75" s="148"/>
      <c r="H75" s="148"/>
      <c r="I75" s="148"/>
    </row>
    <row r="76" spans="7:9" x14ac:dyDescent="0.2">
      <c r="G76" s="148"/>
      <c r="H76" s="148"/>
      <c r="I76" s="148"/>
    </row>
    <row r="77" spans="7:9" x14ac:dyDescent="0.2">
      <c r="G77" s="148"/>
      <c r="H77" s="148"/>
      <c r="I77" s="148"/>
    </row>
    <row r="78" spans="7:9" x14ac:dyDescent="0.2">
      <c r="G78" s="148"/>
      <c r="H78" s="148"/>
      <c r="I78" s="148"/>
    </row>
    <row r="79" spans="7:9" x14ac:dyDescent="0.2">
      <c r="G79" s="148"/>
      <c r="H79" s="148"/>
      <c r="I79" s="148"/>
    </row>
    <row r="80" spans="7:9" x14ac:dyDescent="0.2">
      <c r="G80" s="148"/>
      <c r="H80" s="148"/>
      <c r="I80" s="148"/>
    </row>
    <row r="81" spans="7:9" x14ac:dyDescent="0.2">
      <c r="G81" s="148"/>
      <c r="H81" s="148"/>
      <c r="I81" s="148"/>
    </row>
    <row r="82" spans="7:9" x14ac:dyDescent="0.2">
      <c r="G82" s="148"/>
      <c r="H82" s="148"/>
      <c r="I82" s="148"/>
    </row>
    <row r="83" spans="7:9" x14ac:dyDescent="0.2">
      <c r="G83" s="148"/>
      <c r="H83" s="148"/>
      <c r="I83" s="148"/>
    </row>
    <row r="84" spans="7:9" x14ac:dyDescent="0.2">
      <c r="G84" s="148"/>
      <c r="H84" s="148"/>
      <c r="I84" s="148"/>
    </row>
    <row r="85" spans="7:9" x14ac:dyDescent="0.2">
      <c r="G85" s="148"/>
      <c r="H85" s="148"/>
      <c r="I85" s="148"/>
    </row>
    <row r="86" spans="7:9" x14ac:dyDescent="0.2">
      <c r="G86" s="148"/>
      <c r="H86" s="148"/>
      <c r="I86" s="148"/>
    </row>
    <row r="87" spans="7:9" x14ac:dyDescent="0.2">
      <c r="G87" s="148"/>
      <c r="H87" s="148"/>
      <c r="I87" s="148"/>
    </row>
    <row r="88" spans="7:9" x14ac:dyDescent="0.2">
      <c r="G88" s="148"/>
      <c r="H88" s="148"/>
      <c r="I88" s="148"/>
    </row>
    <row r="89" spans="7:9" x14ac:dyDescent="0.2">
      <c r="G89" s="148"/>
      <c r="H89" s="148"/>
      <c r="I89" s="148"/>
    </row>
    <row r="90" spans="7:9" x14ac:dyDescent="0.2">
      <c r="G90" s="148"/>
      <c r="H90" s="148"/>
      <c r="I90" s="148"/>
    </row>
    <row r="91" spans="7:9" x14ac:dyDescent="0.2">
      <c r="G91" s="148"/>
      <c r="H91" s="148"/>
      <c r="I91" s="148"/>
    </row>
    <row r="92" spans="7:9" x14ac:dyDescent="0.2">
      <c r="G92" s="148"/>
      <c r="H92" s="148"/>
      <c r="I92" s="148"/>
    </row>
    <row r="93" spans="7:9" x14ac:dyDescent="0.2">
      <c r="G93" s="148"/>
      <c r="H93" s="148"/>
      <c r="I93" s="148"/>
    </row>
    <row r="94" spans="7:9" x14ac:dyDescent="0.2">
      <c r="G94" s="148"/>
      <c r="H94" s="148"/>
      <c r="I94" s="148"/>
    </row>
    <row r="95" spans="7:9" x14ac:dyDescent="0.2">
      <c r="G95" s="148"/>
      <c r="H95" s="148"/>
      <c r="I95" s="148"/>
    </row>
    <row r="96" spans="7:9" x14ac:dyDescent="0.2">
      <c r="G96" s="148"/>
      <c r="H96" s="148"/>
      <c r="I96" s="148"/>
    </row>
    <row r="97" spans="7:9" x14ac:dyDescent="0.2">
      <c r="G97" s="148"/>
      <c r="H97" s="148"/>
      <c r="I97" s="148"/>
    </row>
    <row r="98" spans="7:9" x14ac:dyDescent="0.2">
      <c r="G98" s="148"/>
      <c r="H98" s="148"/>
      <c r="I98" s="148"/>
    </row>
    <row r="99" spans="7:9" x14ac:dyDescent="0.2">
      <c r="G99" s="148"/>
      <c r="H99" s="148"/>
      <c r="I99" s="148"/>
    </row>
    <row r="100" spans="7:9" x14ac:dyDescent="0.2">
      <c r="G100" s="148"/>
      <c r="H100" s="148"/>
      <c r="I100" s="148"/>
    </row>
    <row r="101" spans="7:9" x14ac:dyDescent="0.2">
      <c r="G101" s="148"/>
      <c r="H101" s="148"/>
      <c r="I101" s="148"/>
    </row>
    <row r="102" spans="7:9" x14ac:dyDescent="0.2">
      <c r="G102" s="148"/>
      <c r="H102" s="148"/>
      <c r="I102" s="148"/>
    </row>
    <row r="103" spans="7:9" x14ac:dyDescent="0.2">
      <c r="G103" s="148"/>
      <c r="H103" s="148"/>
      <c r="I103" s="148"/>
    </row>
    <row r="104" spans="7:9" x14ac:dyDescent="0.2">
      <c r="G104" s="148"/>
      <c r="H104" s="148"/>
      <c r="I104" s="148"/>
    </row>
    <row r="105" spans="7:9" x14ac:dyDescent="0.2">
      <c r="G105" s="148"/>
      <c r="H105" s="148"/>
      <c r="I105" s="148"/>
    </row>
    <row r="106" spans="7:9" x14ac:dyDescent="0.2">
      <c r="G106" s="148"/>
      <c r="H106" s="148"/>
      <c r="I106" s="148"/>
    </row>
  </sheetData>
  <sheetProtection algorithmName="SHA-512" hashValue="s66t0qfqOJ4dn8bkIxa6kTN7nDdAzdVsheDtzJbWQLJTmgdRrrUNf+HdSr9g8LS+dAZFw/wzR1troEV4UPeWvg==" saltValue="SWN3hJKOWkEW74kZPBglFQ==" spinCount="100000" sheet="1" objects="1" scenarios="1"/>
  <mergeCells count="16">
    <mergeCell ref="H12:I16"/>
    <mergeCell ref="F5:G5"/>
    <mergeCell ref="J1:K3"/>
    <mergeCell ref="L1:M3"/>
    <mergeCell ref="F3:G3"/>
    <mergeCell ref="F4:G4"/>
    <mergeCell ref="J4:M7"/>
    <mergeCell ref="H3:I3"/>
    <mergeCell ref="H4:I4"/>
    <mergeCell ref="J8:M12"/>
    <mergeCell ref="A1:I1"/>
    <mergeCell ref="H6:I6"/>
    <mergeCell ref="H7:H8"/>
    <mergeCell ref="I7:I8"/>
    <mergeCell ref="H9:H11"/>
    <mergeCell ref="I9:I11"/>
  </mergeCells>
  <conditionalFormatting sqref="A7:E39">
    <cfRule type="expression" dxfId="42" priority="6">
      <formula>A7&lt;&gt;""</formula>
    </cfRule>
  </conditionalFormatting>
  <conditionalFormatting sqref="F7:F39">
    <cfRule type="expression" dxfId="41" priority="5">
      <formula>A7&lt;&gt;""</formula>
    </cfRule>
  </conditionalFormatting>
  <conditionalFormatting sqref="G7:G39">
    <cfRule type="expression" dxfId="40" priority="2">
      <formula>$G7&lt;&gt;""</formula>
    </cfRule>
  </conditionalFormatting>
  <hyperlinks>
    <hyperlink ref="J1:K3" location="'Begr.-Rechner int. Prod.'!A1" display="'Begr.-Rechner int. Prod.'!A1" xr:uid="{00000000-0004-0000-0200-000000000000}"/>
    <hyperlink ref="L1:M3" location="Anleitung!A1" display="Anleitung!A1" xr:uid="{00000000-0004-0000-0200-000001000000}"/>
  </hyperlinks>
  <pageMargins left="0.7" right="0.7" top="0.78740157499999996" bottom="0.78740157499999996" header="0.3" footer="0.3"/>
  <pageSetup paperSize="9" scale="49"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3" id="{34A4D2F9-5EFE-42E0-B768-37F0EE507ADC}">
            <xm:f>OR(AND('Konventionell (2)'!$Q$3&gt;0,'Konventionell (2)'!$R$3&gt;0),AND('Konventionell (2)'!$Q$3=0,'Konventionell (2)'!$R$3&gt;0))</xm:f>
            <x14:dxf>
              <border>
                <right style="thin">
                  <color auto="1"/>
                </right>
                <top style="thin">
                  <color auto="1"/>
                </top>
                <bottom style="thin">
                  <color auto="1"/>
                </bottom>
                <vertical/>
                <horizontal/>
              </border>
            </x14:dxf>
          </x14:cfRule>
          <xm:sqref>J4</xm:sqref>
        </x14:conditionalFormatting>
        <x14:conditionalFormatting xmlns:xm="http://schemas.microsoft.com/office/excel/2006/main">
          <x14:cfRule type="expression" priority="1" id="{46BC2D5B-8E4C-43A6-B077-87158E0A7EAC}">
            <xm:f>AND($H$4&gt;0.6,'Begr.-Rechner int. Prod.'!$J$2&gt;0)</xm:f>
            <x14:dxf>
              <font>
                <b/>
                <i val="0"/>
              </font>
              <fill>
                <patternFill>
                  <bgColor rgb="FFFFC000"/>
                </patternFill>
              </fill>
              <border>
                <left style="thin">
                  <color auto="1"/>
                </left>
                <right style="thin">
                  <color auto="1"/>
                </right>
                <top style="thin">
                  <color auto="1"/>
                </top>
                <bottom style="thin">
                  <color auto="1"/>
                </bottom>
                <vertical/>
                <horizontal/>
              </border>
            </x14:dxf>
          </x14:cfRule>
          <xm:sqref>J8:M12</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59999389629810485"/>
    <pageSetUpPr fitToPage="1"/>
  </sheetPr>
  <dimension ref="A1:AH275"/>
  <sheetViews>
    <sheetView showZeros="0" topLeftCell="A21" zoomScale="85" zoomScaleNormal="85" zoomScaleSheetLayoutView="100" workbookViewId="0">
      <pane xSplit="1" topLeftCell="B1" activePane="topRight" state="frozen"/>
      <selection pane="topRight" activeCell="A45" sqref="A45"/>
    </sheetView>
  </sheetViews>
  <sheetFormatPr baseColWidth="10" defaultRowHeight="15" x14ac:dyDescent="0.25"/>
  <cols>
    <col min="1" max="1" width="45.125" customWidth="1"/>
    <col min="2" max="2" width="27.875" style="35" customWidth="1"/>
    <col min="3" max="3" width="20.875" customWidth="1"/>
    <col min="4" max="4" width="20.125" customWidth="1"/>
    <col min="5" max="5" width="14.625" customWidth="1"/>
    <col min="7" max="7" width="14.25" customWidth="1"/>
    <col min="9" max="9" width="21.25" customWidth="1"/>
    <col min="10" max="11" width="13.375" customWidth="1"/>
    <col min="12" max="12" width="15.125" customWidth="1"/>
    <col min="13" max="13" width="17.25" bestFit="1" customWidth="1"/>
    <col min="14" max="14" width="15.125" customWidth="1"/>
    <col min="15" max="16" width="16.875" customWidth="1"/>
    <col min="17" max="18" width="13.25" customWidth="1"/>
    <col min="21" max="22" width="17.25" customWidth="1"/>
    <col min="28" max="28" width="27.125" customWidth="1"/>
    <col min="29" max="29" width="14" customWidth="1"/>
    <col min="30" max="30" width="17.25" bestFit="1" customWidth="1"/>
    <col min="31" max="31" width="18.125" bestFit="1" customWidth="1"/>
    <col min="32" max="32" width="9.25" bestFit="1" customWidth="1"/>
    <col min="33" max="33" width="14.5" bestFit="1" customWidth="1"/>
  </cols>
  <sheetData>
    <row r="1" spans="1:34" ht="143.25" customHeight="1" thickBot="1" x14ac:dyDescent="0.25">
      <c r="A1" s="54" t="s">
        <v>552</v>
      </c>
      <c r="B1" s="1" t="s">
        <v>553</v>
      </c>
      <c r="C1" s="2" t="s">
        <v>103</v>
      </c>
      <c r="D1" s="3"/>
      <c r="E1" s="510" t="s">
        <v>0</v>
      </c>
      <c r="F1" s="511"/>
      <c r="G1" s="511"/>
      <c r="H1" s="511"/>
      <c r="I1" s="125" t="str">
        <f>IF($I$2="","bitte geben Sie HIER die
Begrünungsfläche in ha an","Fläche in ha")</f>
        <v>Fläche in ha</v>
      </c>
      <c r="J1" s="4" t="s">
        <v>284</v>
      </c>
      <c r="K1" s="4" t="s">
        <v>1</v>
      </c>
      <c r="L1" s="5" t="s">
        <v>285</v>
      </c>
      <c r="M1" s="6"/>
      <c r="N1" s="170"/>
      <c r="O1" s="170"/>
      <c r="P1" s="170"/>
      <c r="W1" s="426" t="s">
        <v>324</v>
      </c>
      <c r="X1" s="427"/>
      <c r="Y1" s="159"/>
    </row>
    <row r="2" spans="1:34" ht="46.5" customHeight="1" thickTop="1" thickBot="1" x14ac:dyDescent="0.25">
      <c r="A2" s="7" t="s">
        <v>289</v>
      </c>
      <c r="B2" s="7" t="s">
        <v>2</v>
      </c>
      <c r="C2" s="7" t="s">
        <v>104</v>
      </c>
      <c r="D2" s="8" t="s">
        <v>4</v>
      </c>
      <c r="E2" s="7" t="s">
        <v>5</v>
      </c>
      <c r="F2" s="9" t="s">
        <v>1</v>
      </c>
      <c r="G2" s="7" t="s">
        <v>288</v>
      </c>
      <c r="H2" s="10" t="s">
        <v>6</v>
      </c>
      <c r="I2" s="142">
        <f>'Begr.-Rechner int. Prod.'!$I$2</f>
        <v>0</v>
      </c>
      <c r="J2" s="11">
        <f>SUM(E3:E65)</f>
        <v>0</v>
      </c>
      <c r="K2" s="12">
        <f>SUM(F3:F65)</f>
        <v>0</v>
      </c>
      <c r="L2" s="13">
        <f>SUM(G3:G65)</f>
        <v>0</v>
      </c>
      <c r="M2" s="185" t="s">
        <v>337</v>
      </c>
      <c r="N2" s="168" t="s">
        <v>332</v>
      </c>
      <c r="O2" s="157" t="s">
        <v>336</v>
      </c>
      <c r="P2" s="157" t="s">
        <v>369</v>
      </c>
      <c r="Q2" s="168" t="s">
        <v>334</v>
      </c>
      <c r="R2" s="168" t="s">
        <v>463</v>
      </c>
      <c r="S2" s="168" t="s">
        <v>323</v>
      </c>
      <c r="T2" s="168" t="s">
        <v>322</v>
      </c>
      <c r="U2" s="168" t="s">
        <v>339</v>
      </c>
      <c r="V2" s="159" t="s">
        <v>340</v>
      </c>
      <c r="W2" t="s">
        <v>326</v>
      </c>
      <c r="X2" s="162" t="s">
        <v>327</v>
      </c>
      <c r="Y2" s="162" t="s">
        <v>464</v>
      </c>
      <c r="Z2" s="168" t="s">
        <v>335</v>
      </c>
      <c r="AB2" s="212" t="s">
        <v>374</v>
      </c>
      <c r="AC2" s="213" t="s">
        <v>376</v>
      </c>
      <c r="AD2" s="213" t="s">
        <v>459</v>
      </c>
      <c r="AE2" t="s">
        <v>532</v>
      </c>
      <c r="AF2" t="s">
        <v>537</v>
      </c>
      <c r="AG2" t="s">
        <v>538</v>
      </c>
    </row>
    <row r="3" spans="1:34" ht="21.75" customHeight="1" thickTop="1" thickBot="1" x14ac:dyDescent="0.25">
      <c r="A3" s="14" t="s">
        <v>63</v>
      </c>
      <c r="B3" s="55">
        <f>'Begr.-Rechner int. Prod.'!B4</f>
        <v>4.54</v>
      </c>
      <c r="C3" s="56">
        <f>'Begr.-Rechner int. Prod.'!C4</f>
        <v>15</v>
      </c>
      <c r="D3" s="15">
        <f>IF(ISERROR(C3*B3),0,C3*B3)</f>
        <v>68.099999999999994</v>
      </c>
      <c r="E3" s="143">
        <f>'Begr.-Rechner int. Prod.'!E4</f>
        <v>0</v>
      </c>
      <c r="F3" s="60">
        <f>IF(ISERROR(E3*B3),0,(E3*B3))</f>
        <v>0</v>
      </c>
      <c r="G3" s="61">
        <f>IF(ISERROR(E3/C3),0,(E3/C3))</f>
        <v>0</v>
      </c>
      <c r="H3" s="62">
        <f>IF(ISERROR($I$2*E3),0,($I$2*E3))</f>
        <v>0</v>
      </c>
      <c r="I3" t="str">
        <f>VLOOKUP(A3,'Begr.-Rechner int. Prod.'!$A$4:$I$59,9,0)</f>
        <v>Kreuzblütler</v>
      </c>
      <c r="K3" s="438" t="s">
        <v>531</v>
      </c>
      <c r="L3" s="440"/>
      <c r="M3" t="s">
        <v>227</v>
      </c>
      <c r="N3" t="s">
        <v>338</v>
      </c>
      <c r="O3" t="str">
        <f>IF(E3&gt;0,"ja","nein")</f>
        <v>nein</v>
      </c>
      <c r="P3" t="str">
        <f>IF(O3="ja",I3,"")</f>
        <v/>
      </c>
      <c r="Q3" s="169">
        <f>COUNTIFS($M$3:$M$65,"ja",$O$3:$O$65,"ja")</f>
        <v>0</v>
      </c>
      <c r="R3" s="169" t="str">
        <f>IF(AND($R$5&gt;0,$R$4=0),"ja",IF(AND($R$5&gt;0,$R$4&gt;0),"nein",IF(AND($R$5=0,$R$4&gt;0),"nein","nein")))</f>
        <v>nein</v>
      </c>
      <c r="S3" s="169">
        <f t="array" ref="S3">SUM(1/(COUNTIF(P3:P65,P3:P65)))-1</f>
        <v>-1.7763568394002505E-15</v>
      </c>
      <c r="T3" s="169">
        <f>COUNTIF($O$3:$O$65,"ja")</f>
        <v>0</v>
      </c>
      <c r="U3" s="172">
        <f>SUM($V$3:$V$65)</f>
        <v>0</v>
      </c>
      <c r="V3" s="173" t="str">
        <f>IF(AND(O3="ja",N3="ja"),1,"")</f>
        <v/>
      </c>
      <c r="W3" t="s">
        <v>333</v>
      </c>
      <c r="X3">
        <v>5</v>
      </c>
      <c r="Y3">
        <v>2</v>
      </c>
      <c r="Z3" t="str">
        <f>IFERROR(IF(AND($U$3&gt;=$X$3,$S$3&gt;=$Y$3),"Var.1; ",""),"")</f>
        <v/>
      </c>
      <c r="AB3" s="184"/>
      <c r="AH3" t="s">
        <v>854</v>
      </c>
    </row>
    <row r="4" spans="1:34" ht="21.75" customHeight="1" thickBot="1" x14ac:dyDescent="0.25">
      <c r="A4" s="14" t="s">
        <v>271</v>
      </c>
      <c r="B4" s="55">
        <f>'Begr.-Rechner int. Prod.'!B5</f>
        <v>1.5</v>
      </c>
      <c r="C4" s="56">
        <f>'Begr.-Rechner int. Prod.'!C5</f>
        <v>60</v>
      </c>
      <c r="D4" s="15">
        <f t="shared" ref="D4:D58" si="0">IF(ISERROR(C4*B4),0,C4*B4)</f>
        <v>90</v>
      </c>
      <c r="E4" s="143">
        <f>'Begr.-Rechner int. Prod.'!E5</f>
        <v>0</v>
      </c>
      <c r="F4" s="60">
        <f t="shared" ref="F4:F43" si="1">IF(ISERROR(E4*B4),0,(E4*B4))</f>
        <v>0</v>
      </c>
      <c r="G4" s="61">
        <f t="shared" ref="G4:G43" si="2">IF(ISERROR(E4/C4),0,(E4/C4))</f>
        <v>0</v>
      </c>
      <c r="H4" s="62">
        <f t="shared" ref="H4:H43" si="3">IF(ISERROR($I$2*E4),0,($I$2*E4))</f>
        <v>0</v>
      </c>
      <c r="I4" t="str">
        <f>VLOOKUP(A4,'Begr.-Rechner int. Prod.'!$A$4:$I$59,9,0)</f>
        <v>Leguminose</v>
      </c>
      <c r="K4" s="564" t="str">
        <f>'Begr.-Rechner int. Prod.'!L3</f>
        <v/>
      </c>
      <c r="L4" s="565"/>
      <c r="M4" t="s">
        <v>227</v>
      </c>
      <c r="N4" t="s">
        <v>338</v>
      </c>
      <c r="O4" t="str">
        <f t="shared" ref="O4:O58" si="4">IF(E4&gt;0,"ja","nein")</f>
        <v>nein</v>
      </c>
      <c r="P4" t="str">
        <f t="shared" ref="P4:P65" si="5">IF(O4="ja",I4,"")</f>
        <v/>
      </c>
      <c r="R4" s="169">
        <f>COUNTIFS($M$3:$M$65,"nein",$O$3:$O$65,"ja")</f>
        <v>0</v>
      </c>
      <c r="V4" s="173" t="str">
        <f t="shared" ref="V4:V43" si="6">IF(AND(O4="ja",N4="ja"),1,"")</f>
        <v/>
      </c>
      <c r="W4" t="s">
        <v>325</v>
      </c>
      <c r="X4">
        <v>7</v>
      </c>
      <c r="Y4">
        <v>3</v>
      </c>
      <c r="Z4" t="str">
        <f>IFERROR(IF(AND($T$3&gt;=$X$4,$S$3&gt;=$Y$4),"Var.2; ",""),"")</f>
        <v/>
      </c>
      <c r="AB4" s="184" t="s">
        <v>370</v>
      </c>
      <c r="AC4" t="s">
        <v>377</v>
      </c>
      <c r="AD4" t="s">
        <v>15</v>
      </c>
      <c r="AE4" t="s">
        <v>533</v>
      </c>
      <c r="AF4">
        <v>0.7</v>
      </c>
      <c r="AG4">
        <v>0.87</v>
      </c>
      <c r="AH4" t="s">
        <v>853</v>
      </c>
    </row>
    <row r="5" spans="1:34" ht="21.75" customHeight="1" thickBot="1" x14ac:dyDescent="0.25">
      <c r="A5" s="14" t="s">
        <v>8</v>
      </c>
      <c r="B5" s="55">
        <f>'Begr.-Rechner int. Prod.'!B6</f>
        <v>4.6999999999999993</v>
      </c>
      <c r="C5" s="56">
        <f>'Begr.-Rechner int. Prod.'!C6</f>
        <v>25</v>
      </c>
      <c r="D5" s="15">
        <f t="shared" si="0"/>
        <v>117.49999999999999</v>
      </c>
      <c r="E5" s="143">
        <f>'Begr.-Rechner int. Prod.'!E6</f>
        <v>0</v>
      </c>
      <c r="F5" s="60">
        <f t="shared" si="1"/>
        <v>0</v>
      </c>
      <c r="G5" s="61">
        <f t="shared" si="2"/>
        <v>0</v>
      </c>
      <c r="H5" s="62">
        <f t="shared" si="3"/>
        <v>0</v>
      </c>
      <c r="I5" t="str">
        <f>VLOOKUP(A5,'Begr.-Rechner int. Prod.'!$A$4:$I$59,9,0)</f>
        <v>Leguminose</v>
      </c>
      <c r="J5" s="144"/>
      <c r="M5" t="s">
        <v>227</v>
      </c>
      <c r="N5" t="s">
        <v>227</v>
      </c>
      <c r="O5" t="str">
        <f t="shared" si="4"/>
        <v>nein</v>
      </c>
      <c r="P5" t="str">
        <f t="shared" si="5"/>
        <v/>
      </c>
      <c r="R5" s="169">
        <f>COUNTIFS($M$3:$M$65,"ja",$O$3:$O$65,"ja")</f>
        <v>0</v>
      </c>
      <c r="V5" s="173" t="str">
        <f t="shared" si="6"/>
        <v/>
      </c>
      <c r="W5" t="s">
        <v>328</v>
      </c>
      <c r="X5">
        <v>3</v>
      </c>
      <c r="Y5">
        <v>2</v>
      </c>
      <c r="Z5" t="str">
        <f>IFERROR(IF(AND($T$3&gt;=$X$5,$S$3&gt;=$Y$5),"Var.3; ",""),"")</f>
        <v/>
      </c>
      <c r="AB5" s="184" t="s">
        <v>371</v>
      </c>
      <c r="AC5" t="s">
        <v>378</v>
      </c>
      <c r="AD5" t="s">
        <v>460</v>
      </c>
      <c r="AE5" t="s">
        <v>534</v>
      </c>
      <c r="AF5">
        <v>0.8</v>
      </c>
      <c r="AG5">
        <v>0.87</v>
      </c>
      <c r="AH5" t="s">
        <v>853</v>
      </c>
    </row>
    <row r="6" spans="1:34" ht="21.75" customHeight="1" thickBot="1" x14ac:dyDescent="0.25">
      <c r="A6" s="45" t="s">
        <v>65</v>
      </c>
      <c r="B6" s="55">
        <f>'Begr.-Rechner int. Prod.'!B7</f>
        <v>3.08</v>
      </c>
      <c r="C6" s="56">
        <f>'Begr.-Rechner int. Prod.'!C7</f>
        <v>25</v>
      </c>
      <c r="D6" s="15">
        <f t="shared" si="0"/>
        <v>77</v>
      </c>
      <c r="E6" s="143">
        <f>'Begr.-Rechner int. Prod.'!E7</f>
        <v>0</v>
      </c>
      <c r="F6" s="60">
        <f t="shared" si="1"/>
        <v>0</v>
      </c>
      <c r="G6" s="61">
        <f t="shared" si="2"/>
        <v>0</v>
      </c>
      <c r="H6" s="62">
        <f t="shared" si="3"/>
        <v>0</v>
      </c>
      <c r="I6" t="str">
        <f>VLOOKUP(A6,'Begr.-Rechner int. Prod.'!$A$4:$I$59,9,0)</f>
        <v>Gräser</v>
      </c>
      <c r="M6" t="s">
        <v>227</v>
      </c>
      <c r="N6" t="s">
        <v>227</v>
      </c>
      <c r="O6" t="str">
        <f t="shared" si="4"/>
        <v>nein</v>
      </c>
      <c r="P6" t="str">
        <f t="shared" si="5"/>
        <v/>
      </c>
      <c r="V6" s="173" t="str">
        <f t="shared" si="6"/>
        <v/>
      </c>
      <c r="W6" t="s">
        <v>329</v>
      </c>
      <c r="X6">
        <v>3</v>
      </c>
      <c r="Y6">
        <v>2</v>
      </c>
      <c r="Z6" t="str">
        <f>IFERROR(IF(AND($T$3&gt;=$X$6,$S$3&gt;=$Y$6),"Var.4; ",""),"")</f>
        <v/>
      </c>
      <c r="AB6" s="184" t="s">
        <v>162</v>
      </c>
      <c r="AD6" t="s">
        <v>96</v>
      </c>
      <c r="AE6" t="s">
        <v>535</v>
      </c>
      <c r="AF6">
        <v>0.85</v>
      </c>
      <c r="AG6">
        <v>0.87</v>
      </c>
      <c r="AH6" t="s">
        <v>853</v>
      </c>
    </row>
    <row r="7" spans="1:34" ht="21.75" customHeight="1" thickBot="1" x14ac:dyDescent="0.25">
      <c r="A7" s="45" t="s">
        <v>906</v>
      </c>
      <c r="B7" s="55">
        <f>'Begr.-Rechner int. Prod.'!B8</f>
        <v>1.45</v>
      </c>
      <c r="C7" s="56">
        <f>'Begr.-Rechner int. Prod.'!C8</f>
        <v>170</v>
      </c>
      <c r="D7" s="15">
        <f t="shared" si="0"/>
        <v>246.5</v>
      </c>
      <c r="E7" s="143">
        <f>'Begr.-Rechner int. Prod.'!E8</f>
        <v>0</v>
      </c>
      <c r="F7" s="60">
        <f t="shared" si="1"/>
        <v>0</v>
      </c>
      <c r="G7" s="61">
        <f t="shared" si="2"/>
        <v>0</v>
      </c>
      <c r="H7" s="62">
        <f t="shared" si="3"/>
        <v>0</v>
      </c>
      <c r="I7" t="s">
        <v>317</v>
      </c>
      <c r="M7" t="s">
        <v>227</v>
      </c>
      <c r="N7" t="s">
        <v>338</v>
      </c>
      <c r="O7" t="str">
        <f t="shared" si="4"/>
        <v>nein</v>
      </c>
      <c r="P7" t="str">
        <f t="shared" si="5"/>
        <v/>
      </c>
      <c r="Q7" s="258" t="s">
        <v>852</v>
      </c>
      <c r="R7" s="329">
        <f>'Begr.-Rechner int. Prod.'!$L$6</f>
        <v>0</v>
      </c>
      <c r="S7" s="258" t="s">
        <v>854</v>
      </c>
      <c r="T7" s="329" t="e">
        <f>VLOOKUP($R$7,$AE$4:$AH$10,4,0)</f>
        <v>#N/A</v>
      </c>
      <c r="V7" s="173" t="str">
        <f t="shared" si="6"/>
        <v/>
      </c>
      <c r="W7" t="s">
        <v>330</v>
      </c>
      <c r="X7">
        <v>3</v>
      </c>
      <c r="Y7">
        <v>2</v>
      </c>
      <c r="Z7" t="str">
        <f>IFERROR(IF(AND($T$3&gt;=$X$7,$S$3&gt;=$Y$7),"Var.5; ",""),"")</f>
        <v/>
      </c>
      <c r="AB7" s="184" t="s">
        <v>372</v>
      </c>
      <c r="AD7" t="s">
        <v>461</v>
      </c>
      <c r="AE7" t="s">
        <v>536</v>
      </c>
      <c r="AF7">
        <v>1</v>
      </c>
      <c r="AG7">
        <v>0.87</v>
      </c>
      <c r="AH7" t="s">
        <v>853</v>
      </c>
    </row>
    <row r="8" spans="1:34" ht="37.5" customHeight="1" thickBot="1" x14ac:dyDescent="0.25">
      <c r="A8" s="17" t="s">
        <v>568</v>
      </c>
      <c r="B8" s="55">
        <f>'Begr.-Rechner int. Prod.'!B9</f>
        <v>1.9</v>
      </c>
      <c r="C8" s="56">
        <f>'Begr.-Rechner int. Prod.'!C9</f>
        <v>70</v>
      </c>
      <c r="D8" s="15">
        <f t="shared" si="0"/>
        <v>133</v>
      </c>
      <c r="E8" s="143">
        <f>'Begr.-Rechner int. Prod.'!E9</f>
        <v>0</v>
      </c>
      <c r="F8" s="60">
        <f t="shared" si="1"/>
        <v>0</v>
      </c>
      <c r="G8" s="61">
        <f t="shared" si="2"/>
        <v>0</v>
      </c>
      <c r="H8" s="62">
        <f t="shared" si="3"/>
        <v>0</v>
      </c>
      <c r="I8" t="str">
        <f>VLOOKUP(A8,'Begr.-Rechner int. Prod.'!$A$4:$I$59,9,0)</f>
        <v>Knöterichgewächse</v>
      </c>
      <c r="M8" t="s">
        <v>227</v>
      </c>
      <c r="N8" t="s">
        <v>338</v>
      </c>
      <c r="O8" t="str">
        <f t="shared" si="4"/>
        <v>nein</v>
      </c>
      <c r="P8" t="str">
        <f t="shared" si="5"/>
        <v/>
      </c>
      <c r="Q8" s="566" t="s">
        <v>530</v>
      </c>
      <c r="R8" s="536"/>
      <c r="S8" s="537"/>
      <c r="T8" s="258" t="s">
        <v>542</v>
      </c>
      <c r="U8" s="259" t="s">
        <v>543</v>
      </c>
      <c r="V8" s="173" t="str">
        <f t="shared" si="6"/>
        <v/>
      </c>
      <c r="W8" t="s">
        <v>331</v>
      </c>
      <c r="X8" s="162"/>
      <c r="Y8" s="162"/>
      <c r="Z8" t="str">
        <f>IF($R$3="ja","Var. 6 *","")</f>
        <v/>
      </c>
      <c r="AB8" s="184" t="s">
        <v>318</v>
      </c>
      <c r="AD8" t="s">
        <v>462</v>
      </c>
      <c r="AE8" t="s">
        <v>539</v>
      </c>
      <c r="AF8">
        <v>0.5</v>
      </c>
      <c r="AG8">
        <v>0.91</v>
      </c>
      <c r="AH8" t="s">
        <v>140</v>
      </c>
    </row>
    <row r="9" spans="1:34" ht="33" customHeight="1" thickBot="1" x14ac:dyDescent="0.25">
      <c r="A9" s="24" t="s">
        <v>570</v>
      </c>
      <c r="B9" s="55">
        <f>'Begr.-Rechner int. Prod.'!B10</f>
        <v>1.9750000000000001</v>
      </c>
      <c r="C9" s="56">
        <f>'Begr.-Rechner int. Prod.'!C10</f>
        <v>70</v>
      </c>
      <c r="D9" s="15">
        <f t="shared" si="0"/>
        <v>138.25</v>
      </c>
      <c r="E9" s="143">
        <f>'Begr.-Rechner int. Prod.'!E10</f>
        <v>0</v>
      </c>
      <c r="F9" s="60">
        <f t="shared" si="1"/>
        <v>0</v>
      </c>
      <c r="G9" s="61">
        <f t="shared" si="2"/>
        <v>0</v>
      </c>
      <c r="H9" s="62">
        <f t="shared" si="3"/>
        <v>0</v>
      </c>
      <c r="I9" t="s">
        <v>318</v>
      </c>
      <c r="M9" t="s">
        <v>227</v>
      </c>
      <c r="N9" t="s">
        <v>338</v>
      </c>
      <c r="O9" t="str">
        <f t="shared" si="4"/>
        <v>nein</v>
      </c>
      <c r="P9" t="str">
        <f t="shared" si="5"/>
        <v/>
      </c>
      <c r="Q9" s="254">
        <f>IF(OR(J2=0,AND(J2&gt;0,K4="0 %")),80,IF(AND(J2&gt;0,K4&gt;0),40,""))</f>
        <v>80</v>
      </c>
      <c r="R9" s="255">
        <f>IFERROR(IF('Begr.-Rechner int. Prod.'!$L$6&lt;&gt;"",VLOOKUP('Begr.-Rechner int. Prod.'!$L$6,'Konventionell (2)'!$AE$4:$AG$10,2,0),1),"")</f>
        <v>1</v>
      </c>
      <c r="S9" s="256">
        <f>IFERROR(IF('Begr.-Rechner int. Prod.'!$L$6&lt;&gt;"",VLOOKUP('Begr.-Rechner int. Prod.'!$L$6,'Konventionell (2)'!$AE$4:$AG$10,3,0),1),"")</f>
        <v>1</v>
      </c>
      <c r="T9">
        <f>IF('Begr.-Rechner int. Prod.'!$L$6&lt;&gt;"",ROUND(Q9/R9/S9,1),60)</f>
        <v>60</v>
      </c>
      <c r="U9" s="151" t="str">
        <f>IF('Begr.-Rechner int. Prod.'!L6&lt;&gt;"",Q9,"")</f>
        <v/>
      </c>
      <c r="V9" s="173" t="str">
        <f t="shared" si="6"/>
        <v/>
      </c>
      <c r="W9" t="s">
        <v>467</v>
      </c>
      <c r="X9">
        <v>3</v>
      </c>
      <c r="Y9">
        <v>2</v>
      </c>
      <c r="Z9" t="str">
        <f>IFERROR(IF(AND($T$3&gt;=$X$9,$S$3&gt;=$Y$9),"Var.7",""),"")</f>
        <v/>
      </c>
      <c r="AB9" s="184" t="s">
        <v>319</v>
      </c>
      <c r="AD9" t="s">
        <v>407</v>
      </c>
      <c r="AE9" t="s">
        <v>540</v>
      </c>
      <c r="AF9">
        <v>0.1</v>
      </c>
      <c r="AG9">
        <v>0.91</v>
      </c>
      <c r="AH9" t="s">
        <v>140</v>
      </c>
    </row>
    <row r="10" spans="1:34" ht="33" customHeight="1" thickBot="1" x14ac:dyDescent="0.25">
      <c r="A10" s="20" t="s">
        <v>11</v>
      </c>
      <c r="B10" s="55">
        <f>'Begr.-Rechner int. Prod.'!B11</f>
        <v>2.6799999999999997</v>
      </c>
      <c r="C10" s="56">
        <f>'Begr.-Rechner int. Prod.'!C11</f>
        <v>40</v>
      </c>
      <c r="D10" s="15">
        <f t="shared" si="0"/>
        <v>107.19999999999999</v>
      </c>
      <c r="E10" s="143">
        <f>'Begr.-Rechner int. Prod.'!E11</f>
        <v>0</v>
      </c>
      <c r="F10" s="60">
        <f t="shared" si="1"/>
        <v>0</v>
      </c>
      <c r="G10" s="61">
        <f t="shared" si="2"/>
        <v>0</v>
      </c>
      <c r="H10" s="62">
        <f t="shared" si="3"/>
        <v>0</v>
      </c>
      <c r="I10" t="str">
        <f>VLOOKUP(A10,'Begr.-Rechner int. Prod.'!$A$4:$I$59,9,0)</f>
        <v>Gräser</v>
      </c>
      <c r="M10" t="s">
        <v>227</v>
      </c>
      <c r="N10" t="s">
        <v>227</v>
      </c>
      <c r="O10" t="str">
        <f t="shared" si="4"/>
        <v>nein</v>
      </c>
      <c r="P10" t="str">
        <f t="shared" si="5"/>
        <v/>
      </c>
      <c r="Q10" s="150">
        <f>IF(OR(J2=0,AND(J2&gt;0,K4="0 %")),70,IF(AND(J2&gt;0,K4&gt;0),30,""))</f>
        <v>70</v>
      </c>
      <c r="R10">
        <f>IFERROR(IF('Begr.-Rechner int. Prod.'!$L$6&lt;&gt;"",VLOOKUP('Begr.-Rechner int. Prod.'!$L$6,'Konventionell (2)'!$AE$4:$AG$10,2,0),1),"")</f>
        <v>1</v>
      </c>
      <c r="S10" s="151">
        <f>IFERROR(IF('Begr.-Rechner int. Prod.'!$L$6&lt;&gt;"",VLOOKUP('Begr.-Rechner int. Prod.'!$L$6,'Konventionell (2)'!$AE$4:$AG$10,3,0),1),"")</f>
        <v>1</v>
      </c>
      <c r="T10">
        <f>IF('Begr.-Rechner int. Prod.'!$L$6&lt;&gt;"",ROUND(Q10/R10/S10,1),60)</f>
        <v>60</v>
      </c>
      <c r="U10" s="151" t="str">
        <f>IF('Begr.-Rechner int. Prod.'!L6&lt;&gt;"",Q10,"")</f>
        <v/>
      </c>
      <c r="V10" s="173" t="str">
        <f t="shared" si="6"/>
        <v/>
      </c>
      <c r="Z10" t="str">
        <f>IF(AND($Z3="",Z4="",Z5="",Z6="",Z7="",Z8=""),"keine ÖPUL Konformität gegeben","")</f>
        <v>keine ÖPUL Konformität gegeben</v>
      </c>
      <c r="AB10" s="184" t="s">
        <v>120</v>
      </c>
      <c r="AE10" t="s">
        <v>541</v>
      </c>
      <c r="AF10">
        <v>0.3</v>
      </c>
      <c r="AG10">
        <v>0.91</v>
      </c>
      <c r="AH10" t="s">
        <v>140</v>
      </c>
    </row>
    <row r="11" spans="1:34" ht="21.75" customHeight="1" thickBot="1" x14ac:dyDescent="0.25">
      <c r="A11" s="46" t="s">
        <v>394</v>
      </c>
      <c r="B11" s="55">
        <f>'Begr.-Rechner int. Prod.'!B12</f>
        <v>3.0700000000000003</v>
      </c>
      <c r="C11" s="56">
        <f>'Begr.-Rechner int. Prod.'!C12</f>
        <v>30</v>
      </c>
      <c r="D11" s="15">
        <f t="shared" si="0"/>
        <v>92.100000000000009</v>
      </c>
      <c r="E11" s="143">
        <f>'Begr.-Rechner int. Prod.'!E12</f>
        <v>0</v>
      </c>
      <c r="F11" s="60">
        <f t="shared" si="1"/>
        <v>0</v>
      </c>
      <c r="G11" s="61">
        <f t="shared" si="2"/>
        <v>0</v>
      </c>
      <c r="H11" s="62">
        <f t="shared" si="3"/>
        <v>0</v>
      </c>
      <c r="I11" t="str">
        <f>VLOOKUP(A11,'Begr.-Rechner int. Prod.'!$A$4:$I$59,9,0)</f>
        <v>Gräser</v>
      </c>
      <c r="M11" t="s">
        <v>227</v>
      </c>
      <c r="N11" t="s">
        <v>227</v>
      </c>
      <c r="O11" t="str">
        <f t="shared" si="4"/>
        <v>nein</v>
      </c>
      <c r="P11" t="str">
        <f t="shared" si="5"/>
        <v/>
      </c>
      <c r="Q11" s="152">
        <v>60</v>
      </c>
      <c r="R11" s="153">
        <f>IFERROR(IF('Begr.-Rechner int. Prod.'!$L$6&lt;&gt;"",VLOOKUP('Begr.-Rechner int. Prod.'!$L$6,'Konventionell (2)'!$AE$4:$AG$10,2,0),1),"")</f>
        <v>1</v>
      </c>
      <c r="S11" s="154">
        <f>IFERROR(IF('Begr.-Rechner int. Prod.'!$L$6&lt;&gt;"",VLOOKUP('Begr.-Rechner int. Prod.'!$L$6,'Konventionell (2)'!$AE$4:$AG$10,3,0),1),"")</f>
        <v>1</v>
      </c>
      <c r="T11">
        <f>IF('Begr.-Rechner int. Prod.'!$L$6&lt;&gt;"",Q11,60)</f>
        <v>60</v>
      </c>
      <c r="U11" s="151" t="str">
        <f>IF('Begr.-Rechner int. Prod.'!L6&lt;&gt;"",Q11*R11*S11,"")</f>
        <v/>
      </c>
      <c r="V11" s="173" t="str">
        <f t="shared" si="6"/>
        <v/>
      </c>
      <c r="AB11" s="184" t="s">
        <v>317</v>
      </c>
    </row>
    <row r="12" spans="1:34" ht="29.25" thickBot="1" x14ac:dyDescent="0.25">
      <c r="A12" s="19" t="s">
        <v>67</v>
      </c>
      <c r="B12" s="55">
        <f>'Begr.-Rechner int. Prod.'!B13</f>
        <v>3.08</v>
      </c>
      <c r="C12" s="56">
        <f>'Begr.-Rechner int. Prod.'!C13</f>
        <v>180</v>
      </c>
      <c r="D12" s="15">
        <f t="shared" si="0"/>
        <v>554.4</v>
      </c>
      <c r="E12" s="143">
        <f>'Begr.-Rechner int. Prod.'!E13</f>
        <v>0</v>
      </c>
      <c r="F12" s="60">
        <f t="shared" si="1"/>
        <v>0</v>
      </c>
      <c r="G12" s="61">
        <f t="shared" si="2"/>
        <v>0</v>
      </c>
      <c r="H12" s="62">
        <f t="shared" si="3"/>
        <v>0</v>
      </c>
      <c r="I12" t="str">
        <f>VLOOKUP(A12,'Begr.-Rechner int. Prod.'!$A$4:$I$59,9,0)</f>
        <v>Leguminose</v>
      </c>
      <c r="M12" t="s">
        <v>227</v>
      </c>
      <c r="N12" t="s">
        <v>338</v>
      </c>
      <c r="O12" t="str">
        <f t="shared" si="4"/>
        <v>nein</v>
      </c>
      <c r="P12" t="str">
        <f t="shared" si="5"/>
        <v/>
      </c>
      <c r="S12" s="162" t="s">
        <v>544</v>
      </c>
      <c r="T12">
        <f>IFERROR(IF(T7="langsam",T10,IF(T7="leicht",MIN($T$10:$T$11),T11)),T11)</f>
        <v>60</v>
      </c>
      <c r="U12" t="str">
        <f>IFERROR(IF(T7="langsam",U10,IF(T7="leicht",MIN($U$10:$U$11),U11)),"")</f>
        <v/>
      </c>
      <c r="V12" s="173" t="str">
        <f t="shared" si="6"/>
        <v/>
      </c>
      <c r="AB12" s="184" t="s">
        <v>373</v>
      </c>
    </row>
    <row r="13" spans="1:34" ht="43.5" thickBot="1" x14ac:dyDescent="0.25">
      <c r="A13" s="17" t="s">
        <v>13</v>
      </c>
      <c r="B13" s="55">
        <f>'Begr.-Rechner int. Prod.'!B14</f>
        <v>1.52</v>
      </c>
      <c r="C13" s="56">
        <f>'Begr.-Rechner int. Prod.'!C14</f>
        <v>160</v>
      </c>
      <c r="D13" s="15">
        <f t="shared" si="0"/>
        <v>243.2</v>
      </c>
      <c r="E13" s="143">
        <f>'Begr.-Rechner int. Prod.'!E14</f>
        <v>0</v>
      </c>
      <c r="F13" s="60">
        <f t="shared" si="1"/>
        <v>0</v>
      </c>
      <c r="G13" s="61">
        <f t="shared" si="2"/>
        <v>0</v>
      </c>
      <c r="H13" s="62">
        <f t="shared" si="3"/>
        <v>0</v>
      </c>
      <c r="I13" t="str">
        <f>VLOOKUP(A13,'Begr.-Rechner int. Prod.'!$A$4:$I$59,9,0)</f>
        <v>Leguminose</v>
      </c>
      <c r="M13" t="s">
        <v>227</v>
      </c>
      <c r="N13" t="s">
        <v>338</v>
      </c>
      <c r="O13" t="str">
        <f t="shared" si="4"/>
        <v>nein</v>
      </c>
      <c r="P13" t="str">
        <f t="shared" si="5"/>
        <v/>
      </c>
      <c r="S13" s="162" t="s">
        <v>545</v>
      </c>
      <c r="T13">
        <f>IFERROR(IF(T7="langsam",T9,IF(T7="leicht",MIN(T11,T9),T11)),T11)</f>
        <v>60</v>
      </c>
      <c r="U13" t="str">
        <f>IFERROR(IF(T7="langsam",U9,IF(T7="leicht",MIN(U11,U9),U11)),"")</f>
        <v/>
      </c>
      <c r="V13" s="173" t="str">
        <f t="shared" si="6"/>
        <v/>
      </c>
      <c r="AB13" s="184" t="s">
        <v>321</v>
      </c>
    </row>
    <row r="14" spans="1:34" ht="21.75" customHeight="1" thickBot="1" x14ac:dyDescent="0.25">
      <c r="A14" s="17" t="s">
        <v>68</v>
      </c>
      <c r="B14" s="55">
        <f>'Begr.-Rechner int. Prod.'!B15</f>
        <v>13.53</v>
      </c>
      <c r="C14" s="56">
        <f>'Begr.-Rechner int. Prod.'!C15</f>
        <v>4</v>
      </c>
      <c r="D14" s="15">
        <f t="shared" si="0"/>
        <v>54.12</v>
      </c>
      <c r="E14" s="143">
        <f>'Begr.-Rechner int. Prod.'!E15</f>
        <v>0</v>
      </c>
      <c r="F14" s="60">
        <f t="shared" si="1"/>
        <v>0</v>
      </c>
      <c r="G14" s="61">
        <f t="shared" si="2"/>
        <v>0</v>
      </c>
      <c r="H14" s="62">
        <f t="shared" si="3"/>
        <v>0</v>
      </c>
      <c r="I14" t="str">
        <f>VLOOKUP(A14,'Begr.-Rechner int. Prod.'!$A$4:$I$59,9,0)</f>
        <v>Kreuzblütler</v>
      </c>
      <c r="M14" t="s">
        <v>227</v>
      </c>
      <c r="N14" t="s">
        <v>338</v>
      </c>
      <c r="O14" t="str">
        <f t="shared" si="4"/>
        <v>nein</v>
      </c>
      <c r="P14" t="str">
        <f t="shared" si="5"/>
        <v/>
      </c>
      <c r="V14" s="173" t="str">
        <f t="shared" si="6"/>
        <v/>
      </c>
      <c r="AB14" s="184" t="s">
        <v>320</v>
      </c>
    </row>
    <row r="15" spans="1:34" ht="21.75" customHeight="1" thickBot="1" x14ac:dyDescent="0.25">
      <c r="A15" s="20" t="s">
        <v>14</v>
      </c>
      <c r="B15" s="55">
        <f>'Begr.-Rechner int. Prod.'!B16</f>
        <v>8.5250000000000004</v>
      </c>
      <c r="C15" s="56">
        <f>'Begr.-Rechner int. Prod.'!C16</f>
        <v>30</v>
      </c>
      <c r="D15" s="15">
        <f t="shared" si="0"/>
        <v>255.75</v>
      </c>
      <c r="E15" s="143">
        <f>'Begr.-Rechner int. Prod.'!E16</f>
        <v>0</v>
      </c>
      <c r="F15" s="60">
        <f t="shared" si="1"/>
        <v>0</v>
      </c>
      <c r="G15" s="61">
        <f t="shared" si="2"/>
        <v>0</v>
      </c>
      <c r="H15" s="62">
        <f t="shared" si="3"/>
        <v>0</v>
      </c>
      <c r="I15" t="str">
        <f>VLOOKUP(A15,'Begr.-Rechner int. Prod.'!$A$4:$I$59,9,0)</f>
        <v>Leguminose</v>
      </c>
      <c r="M15" t="s">
        <v>227</v>
      </c>
      <c r="N15" t="s">
        <v>338</v>
      </c>
      <c r="O15" t="str">
        <f t="shared" si="4"/>
        <v>nein</v>
      </c>
      <c r="P15" t="str">
        <f t="shared" si="5"/>
        <v/>
      </c>
      <c r="V15" s="173" t="str">
        <f t="shared" si="6"/>
        <v/>
      </c>
      <c r="AB15" s="302" t="s">
        <v>456</v>
      </c>
    </row>
    <row r="16" spans="1:34" ht="21.75" customHeight="1" thickBot="1" x14ac:dyDescent="0.25">
      <c r="A16" s="17" t="s">
        <v>15</v>
      </c>
      <c r="B16" s="55">
        <f>'Begr.-Rechner int. Prod.'!B17</f>
        <v>2.09</v>
      </c>
      <c r="C16" s="56">
        <f>'Begr.-Rechner int. Prod.'!C17</f>
        <v>120</v>
      </c>
      <c r="D16" s="15">
        <f t="shared" si="0"/>
        <v>250.79999999999998</v>
      </c>
      <c r="E16" s="143">
        <f>'Begr.-Rechner int. Prod.'!E17</f>
        <v>0</v>
      </c>
      <c r="F16" s="60">
        <f t="shared" si="1"/>
        <v>0</v>
      </c>
      <c r="G16" s="61">
        <f t="shared" si="2"/>
        <v>0</v>
      </c>
      <c r="H16" s="62">
        <f t="shared" si="3"/>
        <v>0</v>
      </c>
      <c r="I16" t="str">
        <f>VLOOKUP(A16,'Begr.-Rechner int. Prod.'!$A$4:$I$59,9,0)</f>
        <v>Gräser</v>
      </c>
      <c r="M16" t="s">
        <v>338</v>
      </c>
      <c r="N16" t="s">
        <v>227</v>
      </c>
      <c r="O16" t="str">
        <f t="shared" si="4"/>
        <v>nein</v>
      </c>
      <c r="P16" t="str">
        <f t="shared" si="5"/>
        <v/>
      </c>
      <c r="Q16" s="162"/>
      <c r="V16" s="173" t="str">
        <f t="shared" si="6"/>
        <v/>
      </c>
    </row>
    <row r="17" spans="1:22" ht="21.75" customHeight="1" thickBot="1" x14ac:dyDescent="0.25">
      <c r="A17" s="17" t="s">
        <v>69</v>
      </c>
      <c r="B17" s="55">
        <f>'Begr.-Rechner int. Prod.'!B18</f>
        <v>9.98</v>
      </c>
      <c r="C17" s="56">
        <f>'Begr.-Rechner int. Prod.'!C18</f>
        <v>2</v>
      </c>
      <c r="D17" s="15">
        <f t="shared" si="0"/>
        <v>19.96</v>
      </c>
      <c r="E17" s="143">
        <f>'Begr.-Rechner int. Prod.'!E18</f>
        <v>0</v>
      </c>
      <c r="F17" s="60">
        <f t="shared" si="1"/>
        <v>0</v>
      </c>
      <c r="G17" s="61">
        <f t="shared" si="2"/>
        <v>0</v>
      </c>
      <c r="H17" s="62">
        <f t="shared" si="3"/>
        <v>0</v>
      </c>
      <c r="I17" t="str">
        <f>VLOOKUP(A17,'Begr.-Rechner int. Prod.'!$A$4:$I$59,9,0)</f>
        <v>Kreuzblütler</v>
      </c>
      <c r="M17" t="s">
        <v>227</v>
      </c>
      <c r="N17" t="s">
        <v>338</v>
      </c>
      <c r="O17" t="str">
        <f t="shared" si="4"/>
        <v>nein</v>
      </c>
      <c r="P17" t="str">
        <f t="shared" si="5"/>
        <v/>
      </c>
      <c r="Q17" s="162"/>
      <c r="V17" s="173" t="str">
        <f t="shared" si="6"/>
        <v/>
      </c>
    </row>
    <row r="18" spans="1:22" ht="21.75" customHeight="1" thickBot="1" x14ac:dyDescent="0.25">
      <c r="A18" s="17" t="s">
        <v>70</v>
      </c>
      <c r="B18" s="55">
        <f>'Begr.-Rechner int. Prod.'!B19</f>
        <v>4.03</v>
      </c>
      <c r="C18" s="56">
        <f>'Begr.-Rechner int. Prod.'!C19</f>
        <v>15</v>
      </c>
      <c r="D18" s="15">
        <f t="shared" si="0"/>
        <v>60.45</v>
      </c>
      <c r="E18" s="143">
        <f>'Begr.-Rechner int. Prod.'!E19</f>
        <v>0</v>
      </c>
      <c r="F18" s="60">
        <f t="shared" si="1"/>
        <v>0</v>
      </c>
      <c r="G18" s="61">
        <f t="shared" si="2"/>
        <v>0</v>
      </c>
      <c r="H18" s="62">
        <f t="shared" si="3"/>
        <v>0</v>
      </c>
      <c r="I18" t="str">
        <f>VLOOKUP(A18,'Begr.-Rechner int. Prod.'!$A$4:$I$59,9,0)</f>
        <v>Gräser</v>
      </c>
      <c r="M18" t="s">
        <v>227</v>
      </c>
      <c r="N18" t="s">
        <v>227</v>
      </c>
      <c r="O18" t="str">
        <f t="shared" si="4"/>
        <v>nein</v>
      </c>
      <c r="P18" t="str">
        <f t="shared" si="5"/>
        <v/>
      </c>
      <c r="V18" s="173" t="str">
        <f t="shared" si="6"/>
        <v/>
      </c>
    </row>
    <row r="19" spans="1:22" ht="21.75" customHeight="1" thickBot="1" x14ac:dyDescent="0.25">
      <c r="A19" s="20" t="s">
        <v>71</v>
      </c>
      <c r="B19" s="55">
        <f>'Begr.-Rechner int. Prod.'!B20</f>
        <v>17.11</v>
      </c>
      <c r="C19" s="56">
        <f>'Begr.-Rechner int. Prod.'!C20</f>
        <v>20</v>
      </c>
      <c r="D19" s="15">
        <f t="shared" si="0"/>
        <v>342.2</v>
      </c>
      <c r="E19" s="143">
        <f>'Begr.-Rechner int. Prod.'!E20</f>
        <v>0</v>
      </c>
      <c r="F19" s="60">
        <f t="shared" si="1"/>
        <v>0</v>
      </c>
      <c r="G19" s="61">
        <f t="shared" si="2"/>
        <v>0</v>
      </c>
      <c r="H19" s="62">
        <f t="shared" si="3"/>
        <v>0</v>
      </c>
      <c r="I19" t="str">
        <f>VLOOKUP(A19,'Begr.-Rechner int. Prod.'!$A$4:$I$59,9,0)</f>
        <v>Leguminose</v>
      </c>
      <c r="M19" t="s">
        <v>227</v>
      </c>
      <c r="N19" t="s">
        <v>338</v>
      </c>
      <c r="O19" t="str">
        <f t="shared" si="4"/>
        <v>nein</v>
      </c>
      <c r="P19" t="str">
        <f t="shared" si="5"/>
        <v/>
      </c>
      <c r="V19" s="173" t="str">
        <f t="shared" si="6"/>
        <v/>
      </c>
    </row>
    <row r="20" spans="1:22" ht="21.75" customHeight="1" thickBot="1" x14ac:dyDescent="0.25">
      <c r="A20" s="17" t="s">
        <v>16</v>
      </c>
      <c r="B20" s="55">
        <f>'Begr.-Rechner int. Prod.'!B21</f>
        <v>3.44</v>
      </c>
      <c r="C20" s="56">
        <f>'Begr.-Rechner int. Prod.'!C21</f>
        <v>30</v>
      </c>
      <c r="D20" s="15">
        <f t="shared" si="0"/>
        <v>103.2</v>
      </c>
      <c r="E20" s="143">
        <f>'Begr.-Rechner int. Prod.'!E21</f>
        <v>0</v>
      </c>
      <c r="F20" s="60">
        <f t="shared" si="1"/>
        <v>0</v>
      </c>
      <c r="G20" s="61">
        <f t="shared" si="2"/>
        <v>0</v>
      </c>
      <c r="H20" s="62">
        <f t="shared" si="3"/>
        <v>0</v>
      </c>
      <c r="I20" t="str">
        <f>VLOOKUP(A20,'Begr.-Rechner int. Prod.'!$A$4:$I$59,9,0)</f>
        <v>Leguminose</v>
      </c>
      <c r="M20" t="s">
        <v>227</v>
      </c>
      <c r="N20" t="s">
        <v>338</v>
      </c>
      <c r="O20" t="str">
        <f t="shared" si="4"/>
        <v>nein</v>
      </c>
      <c r="P20" t="str">
        <f t="shared" si="5"/>
        <v/>
      </c>
      <c r="V20" s="173" t="str">
        <f t="shared" si="6"/>
        <v/>
      </c>
    </row>
    <row r="21" spans="1:22" ht="21.75" customHeight="1" thickBot="1" x14ac:dyDescent="0.25">
      <c r="A21" s="17" t="s">
        <v>397</v>
      </c>
      <c r="B21" s="55">
        <f>'Begr.-Rechner int. Prod.'!B22</f>
        <v>2.8149999999999999</v>
      </c>
      <c r="C21" s="56">
        <f>'Begr.-Rechner int. Prod.'!C22</f>
        <v>40</v>
      </c>
      <c r="D21" s="15">
        <f t="shared" si="0"/>
        <v>112.6</v>
      </c>
      <c r="E21" s="143">
        <f>'Begr.-Rechner int. Prod.'!E22</f>
        <v>0</v>
      </c>
      <c r="F21" s="60">
        <f t="shared" si="1"/>
        <v>0</v>
      </c>
      <c r="G21" s="61">
        <f t="shared" si="2"/>
        <v>0</v>
      </c>
      <c r="H21" s="62">
        <f t="shared" si="3"/>
        <v>0</v>
      </c>
      <c r="I21" t="str">
        <f>VLOOKUP(A21,'Begr.-Rechner int. Prod.'!$A$4:$I$59,9,0)</f>
        <v>Gräser</v>
      </c>
      <c r="M21" t="s">
        <v>227</v>
      </c>
      <c r="N21" t="s">
        <v>227</v>
      </c>
      <c r="O21" t="str">
        <f t="shared" si="4"/>
        <v>nein</v>
      </c>
      <c r="P21" t="str">
        <f t="shared" si="5"/>
        <v/>
      </c>
      <c r="V21" s="173" t="str">
        <f t="shared" si="6"/>
        <v/>
      </c>
    </row>
    <row r="22" spans="1:22" ht="21.75" customHeight="1" thickBot="1" x14ac:dyDescent="0.25">
      <c r="A22" s="19" t="s">
        <v>399</v>
      </c>
      <c r="B22" s="55">
        <f>'Begr.-Rechner int. Prod.'!B23</f>
        <v>4.47</v>
      </c>
      <c r="C22" s="56">
        <f>'Begr.-Rechner int. Prod.'!C23</f>
        <v>10</v>
      </c>
      <c r="D22" s="15">
        <f t="shared" si="0"/>
        <v>44.699999999999996</v>
      </c>
      <c r="E22" s="143">
        <f>'Begr.-Rechner int. Prod.'!E23</f>
        <v>0</v>
      </c>
      <c r="F22" s="60">
        <f t="shared" si="1"/>
        <v>0</v>
      </c>
      <c r="G22" s="61">
        <f t="shared" si="2"/>
        <v>0</v>
      </c>
      <c r="H22" s="62">
        <f t="shared" si="3"/>
        <v>0</v>
      </c>
      <c r="I22" t="str">
        <f>VLOOKUP(A22,'Begr.-Rechner int. Prod.'!$A$4:$I$59,9,0)</f>
        <v>Kreuzblütler</v>
      </c>
      <c r="M22" t="s">
        <v>227</v>
      </c>
      <c r="N22" t="s">
        <v>338</v>
      </c>
      <c r="O22" t="str">
        <f t="shared" si="4"/>
        <v>nein</v>
      </c>
      <c r="P22" t="str">
        <f t="shared" si="5"/>
        <v/>
      </c>
      <c r="V22" s="173" t="str">
        <f t="shared" si="6"/>
        <v/>
      </c>
    </row>
    <row r="23" spans="1:22" ht="21.75" customHeight="1" thickBot="1" x14ac:dyDescent="0.25">
      <c r="A23" s="18" t="s">
        <v>609</v>
      </c>
      <c r="B23" s="55">
        <f>'Begr.-Rechner int. Prod.'!B24</f>
        <v>1.92</v>
      </c>
      <c r="C23" s="56">
        <f>'Begr.-Rechner int. Prod.'!C24</f>
        <v>30</v>
      </c>
      <c r="D23" s="15">
        <f t="shared" si="0"/>
        <v>57.599999999999994</v>
      </c>
      <c r="E23" s="143">
        <f>'Begr.-Rechner int. Prod.'!E24</f>
        <v>0</v>
      </c>
      <c r="F23" s="60">
        <f t="shared" si="1"/>
        <v>0</v>
      </c>
      <c r="G23" s="61">
        <f t="shared" si="2"/>
        <v>0</v>
      </c>
      <c r="H23" s="62">
        <f t="shared" si="3"/>
        <v>0</v>
      </c>
      <c r="I23" t="str">
        <f>VLOOKUP(A23,'Begr.-Rechner int. Prod.'!$A$4:$I$59,9,0)</f>
        <v>Leguminose</v>
      </c>
      <c r="M23" t="s">
        <v>227</v>
      </c>
      <c r="N23" t="s">
        <v>338</v>
      </c>
      <c r="O23" t="str">
        <f t="shared" si="4"/>
        <v>nein</v>
      </c>
      <c r="P23" t="str">
        <f t="shared" si="5"/>
        <v/>
      </c>
      <c r="V23" s="173" t="str">
        <f t="shared" si="6"/>
        <v/>
      </c>
    </row>
    <row r="24" spans="1:22" ht="21.75" customHeight="1" thickBot="1" x14ac:dyDescent="0.25">
      <c r="A24" s="20" t="s">
        <v>915</v>
      </c>
      <c r="B24" s="55">
        <f>'Begr.-Rechner int. Prod.'!B25</f>
        <v>12.05</v>
      </c>
      <c r="C24" s="56">
        <f>'Begr.-Rechner int. Prod.'!C25</f>
        <v>12</v>
      </c>
      <c r="D24" s="15">
        <f t="shared" si="0"/>
        <v>144.60000000000002</v>
      </c>
      <c r="E24" s="143">
        <f>'Begr.-Rechner int. Prod.'!E25</f>
        <v>0</v>
      </c>
      <c r="F24" s="60">
        <f t="shared" si="1"/>
        <v>0</v>
      </c>
      <c r="G24" s="61">
        <f t="shared" si="2"/>
        <v>0</v>
      </c>
      <c r="H24" s="62">
        <f t="shared" si="3"/>
        <v>0</v>
      </c>
      <c r="I24" t="str">
        <f>VLOOKUP(A24,'Begr.-Rechner int. Prod.'!$A$4:$I$59,9,0)</f>
        <v>Malvengewächse</v>
      </c>
      <c r="M24" t="s">
        <v>227</v>
      </c>
      <c r="N24" t="s">
        <v>338</v>
      </c>
      <c r="O24" t="str">
        <f t="shared" si="4"/>
        <v>nein</v>
      </c>
      <c r="P24" t="str">
        <f t="shared" si="5"/>
        <v/>
      </c>
      <c r="V24" s="173" t="str">
        <f t="shared" si="6"/>
        <v/>
      </c>
    </row>
    <row r="25" spans="1:22" ht="21.75" customHeight="1" thickBot="1" x14ac:dyDescent="0.25">
      <c r="A25" s="22" t="s">
        <v>19</v>
      </c>
      <c r="B25" s="55">
        <f>'Begr.-Rechner int. Prod.'!B26</f>
        <v>4.9000000000000004</v>
      </c>
      <c r="C25" s="56">
        <f>'Begr.-Rechner int. Prod.'!C26</f>
        <v>10</v>
      </c>
      <c r="D25" s="15">
        <f t="shared" si="0"/>
        <v>49</v>
      </c>
      <c r="E25" s="143">
        <f>'Begr.-Rechner int. Prod.'!E26</f>
        <v>0</v>
      </c>
      <c r="F25" s="60">
        <f t="shared" si="1"/>
        <v>0</v>
      </c>
      <c r="G25" s="61">
        <f t="shared" si="2"/>
        <v>0</v>
      </c>
      <c r="H25" s="62">
        <f t="shared" si="3"/>
        <v>0</v>
      </c>
      <c r="I25" t="str">
        <f>VLOOKUP(A25,'Begr.-Rechner int. Prod.'!$A$4:$I$59,9,0)</f>
        <v>Kreuzblütler</v>
      </c>
      <c r="M25" t="s">
        <v>227</v>
      </c>
      <c r="N25" t="s">
        <v>338</v>
      </c>
      <c r="O25" t="str">
        <f t="shared" si="4"/>
        <v>nein</v>
      </c>
      <c r="P25" t="str">
        <f t="shared" si="5"/>
        <v/>
      </c>
      <c r="V25" s="173" t="str">
        <f t="shared" si="6"/>
        <v/>
      </c>
    </row>
    <row r="26" spans="1:22" ht="21.75" customHeight="1" thickBot="1" x14ac:dyDescent="0.25">
      <c r="A26" s="23" t="s">
        <v>473</v>
      </c>
      <c r="B26" s="55">
        <f>'Begr.-Rechner int. Prod.'!B27</f>
        <v>4.4849999999999994</v>
      </c>
      <c r="C26" s="56">
        <f>'Begr.-Rechner int. Prod.'!C27</f>
        <v>90</v>
      </c>
      <c r="D26" s="15">
        <f t="shared" si="0"/>
        <v>403.65</v>
      </c>
      <c r="E26" s="143">
        <f>'Begr.-Rechner int. Prod.'!E27</f>
        <v>0</v>
      </c>
      <c r="F26" s="60">
        <f t="shared" si="1"/>
        <v>0</v>
      </c>
      <c r="G26" s="61">
        <f t="shared" si="2"/>
        <v>0</v>
      </c>
      <c r="H26" s="62">
        <f t="shared" si="3"/>
        <v>0</v>
      </c>
      <c r="I26" t="str">
        <f>VLOOKUP(A26,'Begr.-Rechner int. Prod.'!$A$4:$I$59,9,0)</f>
        <v>Leguminose</v>
      </c>
      <c r="M26" t="s">
        <v>227</v>
      </c>
      <c r="N26" t="s">
        <v>338</v>
      </c>
      <c r="O26" t="str">
        <f t="shared" si="4"/>
        <v>nein</v>
      </c>
      <c r="P26" t="str">
        <f t="shared" si="5"/>
        <v/>
      </c>
      <c r="V26" s="173" t="str">
        <f t="shared" si="6"/>
        <v/>
      </c>
    </row>
    <row r="27" spans="1:22" ht="21.75" customHeight="1" thickBot="1" x14ac:dyDescent="0.25">
      <c r="A27" s="47" t="s">
        <v>21</v>
      </c>
      <c r="B27" s="55">
        <f>'Begr.-Rechner int. Prod.'!B28</f>
        <v>7.65</v>
      </c>
      <c r="C27" s="56">
        <f>'Begr.-Rechner int. Prod.'!C28</f>
        <v>25</v>
      </c>
      <c r="D27" s="15">
        <f t="shared" si="0"/>
        <v>191.25</v>
      </c>
      <c r="E27" s="143">
        <f>'Begr.-Rechner int. Prod.'!E28</f>
        <v>0</v>
      </c>
      <c r="F27" s="60">
        <f t="shared" si="1"/>
        <v>0</v>
      </c>
      <c r="G27" s="61">
        <f t="shared" si="2"/>
        <v>0</v>
      </c>
      <c r="H27" s="62">
        <f t="shared" si="3"/>
        <v>0</v>
      </c>
      <c r="I27" t="str">
        <f>VLOOKUP(A27,'Begr.-Rechner int. Prod.'!$A$4:$I$59,9,0)</f>
        <v>Leguminose</v>
      </c>
      <c r="M27" t="s">
        <v>227</v>
      </c>
      <c r="N27" t="s">
        <v>338</v>
      </c>
      <c r="O27" t="str">
        <f t="shared" si="4"/>
        <v>nein</v>
      </c>
      <c r="P27" t="str">
        <f t="shared" si="5"/>
        <v/>
      </c>
      <c r="V27" s="173" t="str">
        <f t="shared" si="6"/>
        <v/>
      </c>
    </row>
    <row r="28" spans="1:22" ht="21.75" customHeight="1" thickBot="1" x14ac:dyDescent="0.25">
      <c r="A28" s="23" t="s">
        <v>23</v>
      </c>
      <c r="B28" s="55">
        <f>'Begr.-Rechner int. Prod.'!B29</f>
        <v>7.8</v>
      </c>
      <c r="C28" s="56">
        <f>'Begr.-Rechner int. Prod.'!C29</f>
        <v>8</v>
      </c>
      <c r="D28" s="15">
        <f t="shared" si="0"/>
        <v>62.4</v>
      </c>
      <c r="E28" s="143">
        <f>'Begr.-Rechner int. Prod.'!E29</f>
        <v>0</v>
      </c>
      <c r="F28" s="60">
        <f t="shared" si="1"/>
        <v>0</v>
      </c>
      <c r="G28" s="61">
        <f t="shared" si="2"/>
        <v>0</v>
      </c>
      <c r="H28" s="62">
        <f t="shared" si="3"/>
        <v>0</v>
      </c>
      <c r="I28" t="str">
        <f>VLOOKUP(A28,'Begr.-Rechner int. Prod.'!$A$4:$I$59,9,0)</f>
        <v>Kreuzblütler</v>
      </c>
      <c r="M28" t="s">
        <v>227</v>
      </c>
      <c r="N28" t="s">
        <v>338</v>
      </c>
      <c r="O28" t="str">
        <f t="shared" si="4"/>
        <v>nein</v>
      </c>
      <c r="P28" t="str">
        <f t="shared" si="5"/>
        <v/>
      </c>
      <c r="V28" s="173" t="str">
        <f t="shared" si="6"/>
        <v/>
      </c>
    </row>
    <row r="29" spans="1:22" ht="21.75" customHeight="1" thickBot="1" x14ac:dyDescent="0.25">
      <c r="A29" s="17" t="s">
        <v>1082</v>
      </c>
      <c r="B29" s="55">
        <f>'Begr.-Rechner int. Prod.'!B30</f>
        <v>3.7399999999999998</v>
      </c>
      <c r="C29" s="56">
        <f>'Begr.-Rechner int. Prod.'!C30</f>
        <v>10</v>
      </c>
      <c r="D29" s="15">
        <f t="shared" si="0"/>
        <v>37.4</v>
      </c>
      <c r="E29" s="143">
        <f>'Begr.-Rechner int. Prod.'!E30</f>
        <v>0</v>
      </c>
      <c r="F29" s="60">
        <f t="shared" si="1"/>
        <v>0</v>
      </c>
      <c r="G29" s="61">
        <f t="shared" si="2"/>
        <v>0</v>
      </c>
      <c r="H29" s="62">
        <f t="shared" si="3"/>
        <v>0</v>
      </c>
      <c r="I29" t="str">
        <f>VLOOKUP(A29,'Begr.-Rechner int. Prod.'!$A$4:$I$59,9,0)</f>
        <v>Korbblütler</v>
      </c>
      <c r="M29" t="s">
        <v>227</v>
      </c>
      <c r="N29" t="s">
        <v>338</v>
      </c>
      <c r="O29" t="str">
        <f t="shared" si="4"/>
        <v>nein</v>
      </c>
      <c r="P29" t="str">
        <f t="shared" si="5"/>
        <v/>
      </c>
      <c r="V29" s="173" t="str">
        <f t="shared" si="6"/>
        <v/>
      </c>
    </row>
    <row r="30" spans="1:22" ht="21.75" customHeight="1" thickBot="1" x14ac:dyDescent="0.25">
      <c r="A30" s="17" t="s">
        <v>557</v>
      </c>
      <c r="B30" s="55">
        <f>'Begr.-Rechner int. Prod.'!B31</f>
        <v>4.5</v>
      </c>
      <c r="C30" s="56">
        <f>'Begr.-Rechner int. Prod.'!C31</f>
        <v>50</v>
      </c>
      <c r="D30" s="15">
        <f t="shared" si="0"/>
        <v>225</v>
      </c>
      <c r="E30" s="143">
        <f>'Begr.-Rechner int. Prod.'!E31</f>
        <v>0</v>
      </c>
      <c r="F30" s="60">
        <f t="shared" si="1"/>
        <v>0</v>
      </c>
      <c r="G30" s="61">
        <f t="shared" si="2"/>
        <v>0</v>
      </c>
      <c r="H30" s="62">
        <f t="shared" si="3"/>
        <v>0</v>
      </c>
      <c r="I30" t="str">
        <f>VLOOKUP(A30,'Begr.-Rechner int. Prod.'!$A$4:$I$59,9,0)</f>
        <v>Leingewächse</v>
      </c>
      <c r="M30" t="s">
        <v>227</v>
      </c>
      <c r="N30" t="s">
        <v>338</v>
      </c>
      <c r="O30" t="str">
        <f t="shared" si="4"/>
        <v>nein</v>
      </c>
      <c r="P30" t="str">
        <f t="shared" si="5"/>
        <v/>
      </c>
      <c r="V30" s="173" t="str">
        <f t="shared" si="6"/>
        <v/>
      </c>
    </row>
    <row r="31" spans="1:22" ht="36" customHeight="1" thickBot="1" x14ac:dyDescent="0.25">
      <c r="A31" s="17" t="s">
        <v>24</v>
      </c>
      <c r="B31" s="55">
        <f>'Begr.-Rechner int. Prod.'!B32</f>
        <v>3.165</v>
      </c>
      <c r="C31" s="56">
        <f>'Begr.-Rechner int. Prod.'!C32</f>
        <v>20</v>
      </c>
      <c r="D31" s="15">
        <f t="shared" si="0"/>
        <v>63.3</v>
      </c>
      <c r="E31" s="143">
        <f>'Begr.-Rechner int. Prod.'!E32</f>
        <v>0</v>
      </c>
      <c r="F31" s="60">
        <f t="shared" si="1"/>
        <v>0</v>
      </c>
      <c r="G31" s="61">
        <f t="shared" si="2"/>
        <v>0</v>
      </c>
      <c r="H31" s="62">
        <f t="shared" si="3"/>
        <v>0</v>
      </c>
      <c r="I31" t="str">
        <f>VLOOKUP(A31,'Begr.-Rechner int. Prod.'!$A$4:$I$59,9,0)</f>
        <v>Kreuzblütler</v>
      </c>
      <c r="M31" t="s">
        <v>227</v>
      </c>
      <c r="N31" t="s">
        <v>338</v>
      </c>
      <c r="O31" t="str">
        <f t="shared" si="4"/>
        <v>nein</v>
      </c>
      <c r="P31" t="str">
        <f t="shared" si="5"/>
        <v/>
      </c>
      <c r="V31" s="173" t="str">
        <f t="shared" si="6"/>
        <v/>
      </c>
    </row>
    <row r="32" spans="1:22" ht="21.75" customHeight="1" thickBot="1" x14ac:dyDescent="0.25">
      <c r="A32" s="20" t="s">
        <v>93</v>
      </c>
      <c r="B32" s="55">
        <f>'Begr.-Rechner int. Prod.'!B33</f>
        <v>3.6500000000000004</v>
      </c>
      <c r="C32" s="56">
        <f>'Begr.-Rechner int. Prod.'!C33</f>
        <v>25</v>
      </c>
      <c r="D32" s="15">
        <f t="shared" si="0"/>
        <v>91.250000000000014</v>
      </c>
      <c r="E32" s="143">
        <f>'Begr.-Rechner int. Prod.'!E33</f>
        <v>0</v>
      </c>
      <c r="F32" s="60">
        <f t="shared" si="1"/>
        <v>0</v>
      </c>
      <c r="G32" s="61">
        <f t="shared" si="2"/>
        <v>0</v>
      </c>
      <c r="H32" s="62">
        <f t="shared" si="3"/>
        <v>0</v>
      </c>
      <c r="I32" t="str">
        <f>VLOOKUP(A32,'Begr.-Rechner int. Prod.'!$A$4:$I$59,9,0)</f>
        <v>Kreuzblütler</v>
      </c>
      <c r="M32" t="s">
        <v>227</v>
      </c>
      <c r="N32" t="s">
        <v>338</v>
      </c>
      <c r="O32" t="str">
        <f t="shared" si="4"/>
        <v>nein</v>
      </c>
      <c r="P32" t="str">
        <f t="shared" si="5"/>
        <v/>
      </c>
      <c r="V32" s="173" t="str">
        <f t="shared" si="6"/>
        <v/>
      </c>
    </row>
    <row r="33" spans="1:22" ht="21.75" customHeight="1" thickBot="1" x14ac:dyDescent="0.25">
      <c r="A33" s="17" t="s">
        <v>25</v>
      </c>
      <c r="B33" s="55">
        <f>'Begr.-Rechner int. Prod.'!B34</f>
        <v>6.3150000000000004</v>
      </c>
      <c r="C33" s="56">
        <f>'Begr.-Rechner int. Prod.'!C34</f>
        <v>20</v>
      </c>
      <c r="D33" s="15">
        <f t="shared" si="0"/>
        <v>126.30000000000001</v>
      </c>
      <c r="E33" s="143">
        <f>'Begr.-Rechner int. Prod.'!E34</f>
        <v>0</v>
      </c>
      <c r="F33" s="60">
        <f t="shared" si="1"/>
        <v>0</v>
      </c>
      <c r="G33" s="61">
        <f t="shared" si="2"/>
        <v>0</v>
      </c>
      <c r="H33" s="62">
        <f t="shared" si="3"/>
        <v>0</v>
      </c>
      <c r="I33" t="str">
        <f>VLOOKUP(A33,'Begr.-Rechner int. Prod.'!$A$4:$I$59,9,0)</f>
        <v>Leguminose</v>
      </c>
      <c r="M33" t="s">
        <v>227</v>
      </c>
      <c r="N33" t="s">
        <v>338</v>
      </c>
      <c r="O33" t="str">
        <f t="shared" si="4"/>
        <v>nein</v>
      </c>
      <c r="P33" t="str">
        <f t="shared" si="5"/>
        <v/>
      </c>
      <c r="V33" s="173" t="str">
        <f t="shared" si="6"/>
        <v/>
      </c>
    </row>
    <row r="34" spans="1:22" ht="21.75" customHeight="1" thickBot="1" x14ac:dyDescent="0.25">
      <c r="A34" s="24" t="s">
        <v>26</v>
      </c>
      <c r="B34" s="55">
        <f>'Begr.-Rechner int. Prod.'!B35</f>
        <v>4.665</v>
      </c>
      <c r="C34" s="56">
        <f>'Begr.-Rechner int. Prod.'!C35</f>
        <v>12</v>
      </c>
      <c r="D34" s="15">
        <f t="shared" si="0"/>
        <v>55.980000000000004</v>
      </c>
      <c r="E34" s="143">
        <f>'Begr.-Rechner int. Prod.'!E35</f>
        <v>0</v>
      </c>
      <c r="F34" s="60">
        <f t="shared" si="1"/>
        <v>0</v>
      </c>
      <c r="G34" s="61">
        <f t="shared" si="2"/>
        <v>0</v>
      </c>
      <c r="H34" s="62">
        <f t="shared" si="3"/>
        <v>0</v>
      </c>
      <c r="I34" t="str">
        <f>VLOOKUP(A34,'Begr.-Rechner int. Prod.'!$A$4:$I$59,9,0)</f>
        <v>Wasserblattgewächse</v>
      </c>
      <c r="M34" t="s">
        <v>227</v>
      </c>
      <c r="N34" t="s">
        <v>338</v>
      </c>
      <c r="O34" t="str">
        <f t="shared" si="4"/>
        <v>nein</v>
      </c>
      <c r="P34" t="str">
        <f t="shared" si="5"/>
        <v/>
      </c>
      <c r="V34" s="173" t="str">
        <f t="shared" si="6"/>
        <v/>
      </c>
    </row>
    <row r="35" spans="1:22" ht="21.75" customHeight="1" thickBot="1" x14ac:dyDescent="0.25">
      <c r="A35" s="24" t="s">
        <v>28</v>
      </c>
      <c r="B35" s="55">
        <f>'Begr.-Rechner int. Prod.'!B36</f>
        <v>2.2000000000000002</v>
      </c>
      <c r="C35" s="56">
        <f>'Begr.-Rechner int. Prod.'!C36</f>
        <v>140</v>
      </c>
      <c r="D35" s="15">
        <f t="shared" si="0"/>
        <v>308</v>
      </c>
      <c r="E35" s="143">
        <f>'Begr.-Rechner int. Prod.'!E36</f>
        <v>0</v>
      </c>
      <c r="F35" s="60">
        <f t="shared" si="1"/>
        <v>0</v>
      </c>
      <c r="G35" s="61">
        <f t="shared" si="2"/>
        <v>0</v>
      </c>
      <c r="H35" s="62">
        <f t="shared" si="3"/>
        <v>0</v>
      </c>
      <c r="I35" t="str">
        <f>VLOOKUP(A35,'Begr.-Rechner int. Prod.'!$A$4:$I$59,9,0)</f>
        <v>Leguminose</v>
      </c>
      <c r="M35" t="s">
        <v>227</v>
      </c>
      <c r="N35" t="s">
        <v>338</v>
      </c>
      <c r="O35" t="str">
        <f t="shared" si="4"/>
        <v>nein</v>
      </c>
      <c r="P35" t="str">
        <f t="shared" si="5"/>
        <v/>
      </c>
      <c r="V35" s="173" t="str">
        <f t="shared" si="6"/>
        <v/>
      </c>
    </row>
    <row r="36" spans="1:22" ht="21.75" customHeight="1" thickBot="1" x14ac:dyDescent="0.25">
      <c r="A36" s="20" t="s">
        <v>30</v>
      </c>
      <c r="B36" s="55">
        <f>'Begr.-Rechner int. Prod.'!B37</f>
        <v>21.96</v>
      </c>
      <c r="C36" s="56">
        <f>'Begr.-Rechner int. Prod.'!C37</f>
        <v>12</v>
      </c>
      <c r="D36" s="15">
        <f t="shared" si="0"/>
        <v>263.52</v>
      </c>
      <c r="E36" s="143">
        <f>'Begr.-Rechner int. Prod.'!E37</f>
        <v>0</v>
      </c>
      <c r="F36" s="60">
        <f t="shared" si="1"/>
        <v>0</v>
      </c>
      <c r="G36" s="61">
        <f t="shared" si="2"/>
        <v>0</v>
      </c>
      <c r="H36" s="62">
        <f t="shared" si="3"/>
        <v>0</v>
      </c>
      <c r="I36" t="str">
        <f>VLOOKUP(A36,'Begr.-Rechner int. Prod.'!$A$4:$I$59,9,0)</f>
        <v>Korbblütler</v>
      </c>
      <c r="M36" t="s">
        <v>227</v>
      </c>
      <c r="N36" t="s">
        <v>338</v>
      </c>
      <c r="O36" t="str">
        <f t="shared" si="4"/>
        <v>nein</v>
      </c>
      <c r="P36" t="str">
        <f t="shared" si="5"/>
        <v/>
      </c>
      <c r="V36" s="173" t="str">
        <f t="shared" si="6"/>
        <v/>
      </c>
    </row>
    <row r="37" spans="1:22" ht="21.75" customHeight="1" thickBot="1" x14ac:dyDescent="0.25">
      <c r="A37" s="20" t="s">
        <v>31</v>
      </c>
      <c r="B37" s="55">
        <f>'Begr.-Rechner int. Prod.'!B38</f>
        <v>7.8949999999999996</v>
      </c>
      <c r="C37" s="56">
        <f>'Begr.-Rechner int. Prod.'!C38</f>
        <v>25</v>
      </c>
      <c r="D37" s="15">
        <f t="shared" si="0"/>
        <v>197.375</v>
      </c>
      <c r="E37" s="143">
        <f>'Begr.-Rechner int. Prod.'!E38</f>
        <v>0</v>
      </c>
      <c r="F37" s="60">
        <f t="shared" si="1"/>
        <v>0</v>
      </c>
      <c r="G37" s="61">
        <f t="shared" si="2"/>
        <v>0</v>
      </c>
      <c r="H37" s="62">
        <f t="shared" si="3"/>
        <v>0</v>
      </c>
      <c r="I37" t="str">
        <f>VLOOKUP(A37,'Begr.-Rechner int. Prod.'!$A$4:$I$59,9,0)</f>
        <v>Leguminose</v>
      </c>
      <c r="M37" t="s">
        <v>227</v>
      </c>
      <c r="N37" t="s">
        <v>338</v>
      </c>
      <c r="O37" t="str">
        <f t="shared" si="4"/>
        <v>nein</v>
      </c>
      <c r="P37" t="str">
        <f t="shared" si="5"/>
        <v/>
      </c>
      <c r="V37" s="173" t="str">
        <f t="shared" si="6"/>
        <v/>
      </c>
    </row>
    <row r="38" spans="1:22" ht="33" customHeight="1" thickBot="1" x14ac:dyDescent="0.25">
      <c r="A38" s="20" t="s">
        <v>74</v>
      </c>
      <c r="B38" s="55">
        <f>'Begr.-Rechner int. Prod.'!B39</f>
        <v>2.13</v>
      </c>
      <c r="C38" s="56">
        <f>'Begr.-Rechner int. Prod.'!C39</f>
        <v>150</v>
      </c>
      <c r="D38" s="15">
        <f t="shared" si="0"/>
        <v>319.5</v>
      </c>
      <c r="E38" s="143">
        <f>'Begr.-Rechner int. Prod.'!E39</f>
        <v>0</v>
      </c>
      <c r="F38" s="60">
        <f t="shared" si="1"/>
        <v>0</v>
      </c>
      <c r="G38" s="61">
        <f t="shared" si="2"/>
        <v>0</v>
      </c>
      <c r="H38" s="62">
        <f t="shared" si="3"/>
        <v>0</v>
      </c>
      <c r="I38" t="str">
        <f>VLOOKUP(A38,'Begr.-Rechner int. Prod.'!$A$4:$I$59,9,0)</f>
        <v>Leguminose</v>
      </c>
      <c r="M38" t="s">
        <v>227</v>
      </c>
      <c r="N38" t="s">
        <v>227</v>
      </c>
      <c r="O38" t="str">
        <f t="shared" si="4"/>
        <v>nein</v>
      </c>
      <c r="P38" t="str">
        <f t="shared" si="5"/>
        <v/>
      </c>
      <c r="V38" s="173" t="str">
        <f t="shared" si="6"/>
        <v/>
      </c>
    </row>
    <row r="39" spans="1:22" ht="21.75" customHeight="1" thickBot="1" x14ac:dyDescent="0.25">
      <c r="A39" s="20" t="s">
        <v>549</v>
      </c>
      <c r="B39" s="55">
        <f>'Begr.-Rechner int. Prod.'!B40</f>
        <v>2.34</v>
      </c>
      <c r="C39" s="56">
        <f>'Begr.-Rechner int. Prod.'!C40</f>
        <v>130</v>
      </c>
      <c r="D39" s="15">
        <f t="shared" si="0"/>
        <v>304.2</v>
      </c>
      <c r="E39" s="143">
        <f>'Begr.-Rechner int. Prod.'!E40</f>
        <v>0</v>
      </c>
      <c r="F39" s="60">
        <f t="shared" si="1"/>
        <v>0</v>
      </c>
      <c r="G39" s="61">
        <f t="shared" si="2"/>
        <v>0</v>
      </c>
      <c r="H39" s="62">
        <f t="shared" si="3"/>
        <v>0</v>
      </c>
      <c r="I39" t="str">
        <f>VLOOKUP(A39,'Begr.-Rechner int. Prod.'!$A$4:$I$59,9,0)</f>
        <v>Leguminose</v>
      </c>
      <c r="M39" t="s">
        <v>227</v>
      </c>
      <c r="N39" t="s">
        <v>338</v>
      </c>
      <c r="O39" t="str">
        <f t="shared" si="4"/>
        <v>nein</v>
      </c>
      <c r="P39" t="str">
        <f t="shared" si="5"/>
        <v/>
      </c>
      <c r="V39" s="173" t="str">
        <f t="shared" si="6"/>
        <v/>
      </c>
    </row>
    <row r="40" spans="1:22" ht="21.75" customHeight="1" thickBot="1" x14ac:dyDescent="0.25">
      <c r="A40" s="22" t="s">
        <v>94</v>
      </c>
      <c r="B40" s="55">
        <f>'Begr.-Rechner int. Prod.'!B41</f>
        <v>5.3699999999999992</v>
      </c>
      <c r="C40" s="56">
        <f>'Begr.-Rechner int. Prod.'!C41</f>
        <v>30</v>
      </c>
      <c r="D40" s="15">
        <f t="shared" si="0"/>
        <v>161.09999999999997</v>
      </c>
      <c r="E40" s="143">
        <f>'Begr.-Rechner int. Prod.'!E41</f>
        <v>0</v>
      </c>
      <c r="F40" s="60">
        <f t="shared" si="1"/>
        <v>0</v>
      </c>
      <c r="G40" s="61">
        <f t="shared" si="2"/>
        <v>0</v>
      </c>
      <c r="H40" s="62">
        <f t="shared" si="3"/>
        <v>0</v>
      </c>
      <c r="I40" t="str">
        <f>VLOOKUP(A40,'Begr.-Rechner int. Prod.'!$A$4:$I$59,9,0)</f>
        <v>Kreuzblütler</v>
      </c>
      <c r="M40" t="s">
        <v>227</v>
      </c>
      <c r="N40" t="s">
        <v>338</v>
      </c>
      <c r="O40" t="str">
        <f t="shared" si="4"/>
        <v>nein</v>
      </c>
      <c r="P40" t="str">
        <f t="shared" si="5"/>
        <v/>
      </c>
      <c r="V40" s="173" t="str">
        <f t="shared" si="6"/>
        <v/>
      </c>
    </row>
    <row r="41" spans="1:22" ht="21.75" customHeight="1" thickBot="1" x14ac:dyDescent="0.25">
      <c r="A41" s="48" t="s">
        <v>555</v>
      </c>
      <c r="B41" s="55">
        <f>'Begr.-Rechner int. Prod.'!B42</f>
        <v>2.39</v>
      </c>
      <c r="C41" s="56">
        <f>'Begr.-Rechner int. Prod.'!C42</f>
        <v>100</v>
      </c>
      <c r="D41" s="15">
        <f t="shared" si="0"/>
        <v>239</v>
      </c>
      <c r="E41" s="143">
        <f>'Begr.-Rechner int. Prod.'!E42</f>
        <v>0</v>
      </c>
      <c r="F41" s="60">
        <f t="shared" si="1"/>
        <v>0</v>
      </c>
      <c r="G41" s="61">
        <f t="shared" si="2"/>
        <v>0</v>
      </c>
      <c r="H41" s="62">
        <f t="shared" si="3"/>
        <v>0</v>
      </c>
      <c r="I41" t="str">
        <f>VLOOKUP(A41,'Begr.-Rechner int. Prod.'!$A$4:$I$59,9,0)</f>
        <v>Gräser</v>
      </c>
      <c r="M41" t="s">
        <v>227</v>
      </c>
      <c r="N41" t="s">
        <v>227</v>
      </c>
      <c r="O41" t="str">
        <f t="shared" si="4"/>
        <v>nein</v>
      </c>
      <c r="P41" t="str">
        <f t="shared" si="5"/>
        <v/>
      </c>
      <c r="V41" s="173" t="str">
        <f t="shared" si="6"/>
        <v/>
      </c>
    </row>
    <row r="42" spans="1:22" ht="21.75" customHeight="1" thickBot="1" x14ac:dyDescent="0.25">
      <c r="A42" s="49" t="s">
        <v>33</v>
      </c>
      <c r="B42" s="55">
        <f>'Begr.-Rechner int. Prod.'!B43</f>
        <v>5.95</v>
      </c>
      <c r="C42" s="56">
        <f>'Begr.-Rechner int. Prod.'!C43</f>
        <v>10</v>
      </c>
      <c r="D42" s="15">
        <f t="shared" si="0"/>
        <v>59.5</v>
      </c>
      <c r="E42" s="143">
        <f>'Begr.-Rechner int. Prod.'!E43</f>
        <v>0</v>
      </c>
      <c r="F42" s="60">
        <f t="shared" si="1"/>
        <v>0</v>
      </c>
      <c r="G42" s="61">
        <f t="shared" si="2"/>
        <v>0</v>
      </c>
      <c r="H42" s="62">
        <f t="shared" si="3"/>
        <v>0</v>
      </c>
      <c r="I42" t="str">
        <f>VLOOKUP(A42,'Begr.-Rechner int. Prod.'!$A$4:$I$59,9,0)</f>
        <v>Kreuzblütler</v>
      </c>
      <c r="M42" t="s">
        <v>227</v>
      </c>
      <c r="N42" t="s">
        <v>338</v>
      </c>
      <c r="O42" t="str">
        <f t="shared" si="4"/>
        <v>nein</v>
      </c>
      <c r="P42" t="str">
        <f t="shared" si="5"/>
        <v/>
      </c>
      <c r="V42" s="173" t="str">
        <f t="shared" si="6"/>
        <v/>
      </c>
    </row>
    <row r="43" spans="1:22" ht="21.75" customHeight="1" thickBot="1" x14ac:dyDescent="0.25">
      <c r="A43" s="49" t="s">
        <v>34</v>
      </c>
      <c r="B43" s="55">
        <f>'Begr.-Rechner int. Prod.'!B44</f>
        <v>2.19</v>
      </c>
      <c r="C43" s="56">
        <f>'Begr.-Rechner int. Prod.'!C44</f>
        <v>20</v>
      </c>
      <c r="D43" s="15">
        <f t="shared" si="0"/>
        <v>43.8</v>
      </c>
      <c r="E43" s="143">
        <f>'Begr.-Rechner int. Prod.'!E44</f>
        <v>0</v>
      </c>
      <c r="F43" s="60">
        <f t="shared" si="1"/>
        <v>0</v>
      </c>
      <c r="G43" s="61">
        <f t="shared" si="2"/>
        <v>0</v>
      </c>
      <c r="H43" s="62">
        <f t="shared" si="3"/>
        <v>0</v>
      </c>
      <c r="I43" t="str">
        <f>VLOOKUP(A43,'Begr.-Rechner int. Prod.'!$A$4:$I$59,9,0)</f>
        <v>Leguminose</v>
      </c>
      <c r="M43" t="s">
        <v>227</v>
      </c>
      <c r="N43" t="s">
        <v>338</v>
      </c>
      <c r="O43" t="str">
        <f t="shared" si="4"/>
        <v>nein</v>
      </c>
      <c r="P43" t="str">
        <f t="shared" si="5"/>
        <v/>
      </c>
      <c r="V43" s="173" t="str">
        <f t="shared" si="6"/>
        <v/>
      </c>
    </row>
    <row r="44" spans="1:22" ht="21.75" customHeight="1" thickBot="1" x14ac:dyDescent="0.25">
      <c r="A44" s="20" t="s">
        <v>35</v>
      </c>
      <c r="B44" s="55">
        <f>'Begr.-Rechner int. Prod.'!B45</f>
        <v>2.335</v>
      </c>
      <c r="C44" s="56">
        <f>'Begr.-Rechner int. Prod.'!C45</f>
        <v>15</v>
      </c>
      <c r="D44" s="15">
        <f t="shared" si="0"/>
        <v>35.024999999999999</v>
      </c>
      <c r="E44" s="143">
        <f>'Begr.-Rechner int. Prod.'!E45</f>
        <v>0</v>
      </c>
      <c r="F44" s="60">
        <f t="shared" ref="F44:F54" si="7">IF(ISERROR(E44*B44),0,(E44*B44))</f>
        <v>0</v>
      </c>
      <c r="G44" s="61">
        <f t="shared" ref="G44:G54" si="8">IF(ISERROR(E44/C44),0,(E44/C44))</f>
        <v>0</v>
      </c>
      <c r="H44" s="62">
        <f t="shared" ref="H44:H54" si="9">IF(ISERROR($I$2*E44),0,($I$2*E44))</f>
        <v>0</v>
      </c>
      <c r="I44" t="str">
        <f>VLOOKUP(A44,'Begr.-Rechner int. Prod.'!$A$4:$I$59,9,0)</f>
        <v>Kreuzblütler</v>
      </c>
      <c r="M44" t="s">
        <v>227</v>
      </c>
      <c r="N44" t="s">
        <v>338</v>
      </c>
      <c r="O44" t="str">
        <f t="shared" si="4"/>
        <v>nein</v>
      </c>
      <c r="P44" t="str">
        <f t="shared" si="5"/>
        <v/>
      </c>
      <c r="V44" s="173" t="str">
        <f t="shared" ref="V44:V65" si="10">IF(AND(O44="ja",N44="ja"),1,"")</f>
        <v/>
      </c>
    </row>
    <row r="45" spans="1:22" ht="21.75" customHeight="1" thickBot="1" x14ac:dyDescent="0.25">
      <c r="A45" s="20" t="s">
        <v>1078</v>
      </c>
      <c r="B45" s="55">
        <f>'Begr.-Rechner int. Prod.'!B46</f>
        <v>3.105</v>
      </c>
      <c r="C45" s="56">
        <f>'Begr.-Rechner int. Prod.'!C46</f>
        <v>20</v>
      </c>
      <c r="D45" s="15">
        <f t="shared" si="0"/>
        <v>62.1</v>
      </c>
      <c r="E45" s="143">
        <f>'Begr.-Rechner int. Prod.'!E46</f>
        <v>0</v>
      </c>
      <c r="F45" s="60">
        <f t="shared" si="7"/>
        <v>0</v>
      </c>
      <c r="G45" s="61">
        <f t="shared" si="8"/>
        <v>0</v>
      </c>
      <c r="H45" s="62">
        <f t="shared" si="9"/>
        <v>0</v>
      </c>
      <c r="I45" t="str">
        <f>VLOOKUP(A45,'Begr.-Rechner int. Prod.'!$A$4:$I$59,9,0)</f>
        <v>Kreuzblütler</v>
      </c>
      <c r="M45" t="s">
        <v>227</v>
      </c>
      <c r="N45" t="s">
        <v>338</v>
      </c>
      <c r="O45" t="str">
        <f t="shared" si="4"/>
        <v>nein</v>
      </c>
      <c r="P45" t="str">
        <f t="shared" si="5"/>
        <v/>
      </c>
      <c r="V45" s="173" t="str">
        <f t="shared" si="10"/>
        <v/>
      </c>
    </row>
    <row r="46" spans="1:22" ht="21.75" customHeight="1" thickBot="1" x14ac:dyDescent="0.25">
      <c r="A46" s="17" t="s">
        <v>37</v>
      </c>
      <c r="B46" s="55">
        <f>'Begr.-Rechner int. Prod.'!B47</f>
        <v>3.08</v>
      </c>
      <c r="C46" s="56">
        <f>'Begr.-Rechner int. Prod.'!C47</f>
        <v>15</v>
      </c>
      <c r="D46" s="15">
        <f t="shared" si="0"/>
        <v>46.2</v>
      </c>
      <c r="E46" s="143">
        <f>'Begr.-Rechner int. Prod.'!E47</f>
        <v>0</v>
      </c>
      <c r="F46" s="60">
        <f t="shared" si="7"/>
        <v>0</v>
      </c>
      <c r="G46" s="61">
        <f t="shared" si="8"/>
        <v>0</v>
      </c>
      <c r="H46" s="62">
        <f t="shared" si="9"/>
        <v>0</v>
      </c>
      <c r="I46" t="str">
        <f>VLOOKUP(A46,'Begr.-Rechner int. Prod.'!$A$4:$I$59,9,0)</f>
        <v>Kreuzblütler</v>
      </c>
      <c r="M46" t="s">
        <v>227</v>
      </c>
      <c r="N46" t="s">
        <v>338</v>
      </c>
      <c r="O46" t="str">
        <f t="shared" si="4"/>
        <v>nein</v>
      </c>
      <c r="P46" t="str">
        <f t="shared" si="5"/>
        <v/>
      </c>
      <c r="V46" s="173" t="str">
        <f t="shared" si="10"/>
        <v/>
      </c>
    </row>
    <row r="47" spans="1:22" ht="21.75" customHeight="1" thickBot="1" x14ac:dyDescent="0.25">
      <c r="A47" s="17" t="s">
        <v>217</v>
      </c>
      <c r="B47" s="55">
        <f>'Begr.-Rechner int. Prod.'!B48</f>
        <v>5</v>
      </c>
      <c r="C47" s="56">
        <f>'Begr.-Rechner int. Prod.'!C48</f>
        <v>6</v>
      </c>
      <c r="D47" s="15">
        <f t="shared" si="0"/>
        <v>30</v>
      </c>
      <c r="E47" s="143">
        <f>'Begr.-Rechner int. Prod.'!E48</f>
        <v>0</v>
      </c>
      <c r="F47" s="60">
        <f t="shared" si="7"/>
        <v>0</v>
      </c>
      <c r="G47" s="61">
        <f t="shared" si="8"/>
        <v>0</v>
      </c>
      <c r="H47" s="62">
        <f t="shared" si="9"/>
        <v>0</v>
      </c>
      <c r="I47" t="str">
        <f>VLOOKUP(A47,'Begr.-Rechner int. Prod.'!$A$4:$I$59,9,0)</f>
        <v>Korbblütler</v>
      </c>
      <c r="M47" t="s">
        <v>227</v>
      </c>
      <c r="N47" t="s">
        <v>338</v>
      </c>
      <c r="O47" t="str">
        <f t="shared" si="4"/>
        <v>nein</v>
      </c>
      <c r="P47" t="str">
        <f t="shared" si="5"/>
        <v/>
      </c>
      <c r="V47" s="173" t="str">
        <f t="shared" si="10"/>
        <v/>
      </c>
    </row>
    <row r="48" spans="1:22" ht="21.75" customHeight="1" thickBot="1" x14ac:dyDescent="0.25">
      <c r="A48" s="24" t="s">
        <v>403</v>
      </c>
      <c r="B48" s="55">
        <f>'Begr.-Rechner int. Prod.'!B49</f>
        <v>21.52</v>
      </c>
      <c r="C48" s="56">
        <f>'Begr.-Rechner int. Prod.'!C49</f>
        <v>20</v>
      </c>
      <c r="D48" s="15">
        <f t="shared" si="0"/>
        <v>430.4</v>
      </c>
      <c r="E48" s="143">
        <f>'Begr.-Rechner int. Prod.'!E49</f>
        <v>0</v>
      </c>
      <c r="F48" s="60">
        <f t="shared" si="7"/>
        <v>0</v>
      </c>
      <c r="G48" s="61">
        <f t="shared" si="8"/>
        <v>0</v>
      </c>
      <c r="H48" s="62">
        <f t="shared" si="9"/>
        <v>0</v>
      </c>
      <c r="I48" t="str">
        <f>VLOOKUP(A48,'Begr.-Rechner int. Prod.'!$A$4:$I$59,9,0)</f>
        <v>Wegerichgewächse</v>
      </c>
      <c r="M48" t="s">
        <v>227</v>
      </c>
      <c r="N48" t="s">
        <v>338</v>
      </c>
      <c r="O48" t="str">
        <f t="shared" si="4"/>
        <v>nein</v>
      </c>
      <c r="P48" t="str">
        <f t="shared" si="5"/>
        <v/>
      </c>
      <c r="V48" s="173" t="str">
        <f t="shared" si="10"/>
        <v/>
      </c>
    </row>
    <row r="49" spans="1:22" ht="21.75" customHeight="1" thickBot="1" x14ac:dyDescent="0.25">
      <c r="A49" s="24" t="s">
        <v>490</v>
      </c>
      <c r="B49" s="55">
        <f>'Begr.-Rechner int. Prod.'!B50</f>
        <v>6</v>
      </c>
      <c r="C49" s="56">
        <f>'Begr.-Rechner int. Prod.'!C50</f>
        <v>20</v>
      </c>
      <c r="D49" s="15">
        <f t="shared" si="0"/>
        <v>120</v>
      </c>
      <c r="E49" s="143">
        <f>'Begr.-Rechner int. Prod.'!E50</f>
        <v>0</v>
      </c>
      <c r="F49" s="60">
        <f t="shared" si="7"/>
        <v>0</v>
      </c>
      <c r="G49" s="61">
        <f t="shared" si="8"/>
        <v>0</v>
      </c>
      <c r="H49" s="62">
        <f t="shared" si="9"/>
        <v>0</v>
      </c>
      <c r="I49" t="str">
        <f>VLOOKUP(A49,'Begr.-Rechner int. Prod.'!$A$4:$I$59,9,0)</f>
        <v>Leguminose</v>
      </c>
      <c r="M49" t="s">
        <v>227</v>
      </c>
      <c r="N49" t="s">
        <v>338</v>
      </c>
      <c r="O49" t="str">
        <f t="shared" si="4"/>
        <v>nein</v>
      </c>
      <c r="P49" t="str">
        <f t="shared" si="5"/>
        <v/>
      </c>
      <c r="V49" s="173" t="str">
        <f t="shared" si="10"/>
        <v/>
      </c>
    </row>
    <row r="50" spans="1:22" ht="21.75" customHeight="1" thickBot="1" x14ac:dyDescent="0.25">
      <c r="A50" s="20" t="s">
        <v>38</v>
      </c>
      <c r="B50" s="55">
        <f>'Begr.-Rechner int. Prod.'!B51</f>
        <v>3.0650000000000004</v>
      </c>
      <c r="C50" s="56">
        <f>'Begr.-Rechner int. Prod.'!C51</f>
        <v>25</v>
      </c>
      <c r="D50" s="15">
        <f t="shared" si="0"/>
        <v>76.625000000000014</v>
      </c>
      <c r="E50" s="143">
        <f>'Begr.-Rechner int. Prod.'!E51</f>
        <v>0</v>
      </c>
      <c r="F50" s="60">
        <f t="shared" si="7"/>
        <v>0</v>
      </c>
      <c r="G50" s="61">
        <f t="shared" si="8"/>
        <v>0</v>
      </c>
      <c r="H50" s="62">
        <f t="shared" si="9"/>
        <v>0</v>
      </c>
      <c r="I50" t="str">
        <f>VLOOKUP(A50,'Begr.-Rechner int. Prod.'!$A$4:$I$59,9,0)</f>
        <v>Gräser</v>
      </c>
      <c r="M50" t="s">
        <v>227</v>
      </c>
      <c r="N50" t="s">
        <v>227</v>
      </c>
      <c r="O50" t="str">
        <f t="shared" si="4"/>
        <v>nein</v>
      </c>
      <c r="P50" t="str">
        <f t="shared" si="5"/>
        <v/>
      </c>
      <c r="V50" s="173" t="str">
        <f t="shared" si="10"/>
        <v/>
      </c>
    </row>
    <row r="51" spans="1:22" ht="21.75" customHeight="1" thickBot="1" x14ac:dyDescent="0.25">
      <c r="A51" s="17" t="s">
        <v>208</v>
      </c>
      <c r="B51" s="55">
        <f>'Begr.-Rechner int. Prod.'!B52</f>
        <v>2.06</v>
      </c>
      <c r="C51" s="56">
        <f>'Begr.-Rechner int. Prod.'!C52</f>
        <v>120</v>
      </c>
      <c r="D51" s="15">
        <f t="shared" si="0"/>
        <v>247.20000000000002</v>
      </c>
      <c r="E51" s="143">
        <f>'Begr.-Rechner int. Prod.'!E52</f>
        <v>0</v>
      </c>
      <c r="F51" s="60">
        <f t="shared" si="7"/>
        <v>0</v>
      </c>
      <c r="G51" s="61">
        <f t="shared" si="8"/>
        <v>0</v>
      </c>
      <c r="H51" s="62">
        <f t="shared" si="9"/>
        <v>0</v>
      </c>
      <c r="I51" t="str">
        <f>VLOOKUP(A51,'Begr.-Rechner int. Prod.'!$A$4:$I$59,9,0)</f>
        <v>Gräser</v>
      </c>
      <c r="M51" t="s">
        <v>227</v>
      </c>
      <c r="N51" t="s">
        <v>227</v>
      </c>
      <c r="O51" t="str">
        <f t="shared" si="4"/>
        <v>nein</v>
      </c>
      <c r="P51" t="str">
        <f t="shared" si="5"/>
        <v/>
      </c>
      <c r="V51" s="173" t="str">
        <f t="shared" si="10"/>
        <v/>
      </c>
    </row>
    <row r="52" spans="1:22" ht="21.75" customHeight="1" thickBot="1" x14ac:dyDescent="0.25">
      <c r="A52" s="17" t="s">
        <v>39</v>
      </c>
      <c r="B52" s="55">
        <f>'Begr.-Rechner int. Prod.'!B53</f>
        <v>9.3000000000000007</v>
      </c>
      <c r="C52" s="56">
        <f>'Begr.-Rechner int. Prod.'!C53</f>
        <v>12</v>
      </c>
      <c r="D52" s="15">
        <f t="shared" si="0"/>
        <v>111.60000000000001</v>
      </c>
      <c r="E52" s="143">
        <f>'Begr.-Rechner int. Prod.'!E53</f>
        <v>0</v>
      </c>
      <c r="F52" s="60">
        <f t="shared" si="7"/>
        <v>0</v>
      </c>
      <c r="G52" s="61">
        <f t="shared" si="8"/>
        <v>0</v>
      </c>
      <c r="H52" s="62">
        <f t="shared" si="9"/>
        <v>0</v>
      </c>
      <c r="I52" t="str">
        <f>VLOOKUP(A52,'Begr.-Rechner int. Prod.'!$A$4:$I$59,9,0)</f>
        <v>Leguminose</v>
      </c>
      <c r="M52" t="s">
        <v>227</v>
      </c>
      <c r="N52" t="s">
        <v>338</v>
      </c>
      <c r="O52" t="str">
        <f t="shared" si="4"/>
        <v>nein</v>
      </c>
      <c r="P52" t="str">
        <f t="shared" si="5"/>
        <v/>
      </c>
      <c r="V52" s="173" t="str">
        <f t="shared" si="10"/>
        <v/>
      </c>
    </row>
    <row r="53" spans="1:22" ht="21.75" customHeight="1" thickBot="1" x14ac:dyDescent="0.25">
      <c r="A53" s="17" t="s">
        <v>404</v>
      </c>
      <c r="B53" s="55">
        <f>'Begr.-Rechner int. Prod.'!B54</f>
        <v>2.37</v>
      </c>
      <c r="C53" s="56">
        <f>'Begr.-Rechner int. Prod.'!C54</f>
        <v>150</v>
      </c>
      <c r="D53" s="15">
        <f t="shared" si="0"/>
        <v>355.5</v>
      </c>
      <c r="E53" s="143">
        <f>'Begr.-Rechner int. Prod.'!E54</f>
        <v>0</v>
      </c>
      <c r="F53" s="60">
        <f t="shared" si="7"/>
        <v>0</v>
      </c>
      <c r="G53" s="61">
        <f t="shared" si="8"/>
        <v>0</v>
      </c>
      <c r="H53" s="62">
        <f t="shared" si="9"/>
        <v>0</v>
      </c>
      <c r="I53" t="str">
        <f>VLOOKUP(A53,'Begr.-Rechner int. Prod.'!$A$4:$I$59,9,0)</f>
        <v>Leguminose</v>
      </c>
      <c r="M53" t="s">
        <v>338</v>
      </c>
      <c r="N53" t="s">
        <v>338</v>
      </c>
      <c r="O53" t="str">
        <f t="shared" si="4"/>
        <v>nein</v>
      </c>
      <c r="P53" t="str">
        <f t="shared" si="5"/>
        <v/>
      </c>
      <c r="V53" s="173" t="str">
        <f t="shared" si="10"/>
        <v/>
      </c>
    </row>
    <row r="54" spans="1:22" ht="21.75" customHeight="1" thickBot="1" x14ac:dyDescent="0.25">
      <c r="A54" s="17" t="s">
        <v>41</v>
      </c>
      <c r="B54" s="55">
        <f>'Begr.-Rechner int. Prod.'!B55</f>
        <v>3.0350000000000001</v>
      </c>
      <c r="C54" s="56">
        <f>'Begr.-Rechner int. Prod.'!C55</f>
        <v>15</v>
      </c>
      <c r="D54" s="15">
        <f t="shared" si="0"/>
        <v>45.525000000000006</v>
      </c>
      <c r="E54" s="143">
        <f>'Begr.-Rechner int. Prod.'!E55</f>
        <v>0</v>
      </c>
      <c r="F54" s="60">
        <f t="shared" si="7"/>
        <v>0</v>
      </c>
      <c r="G54" s="61">
        <f t="shared" si="8"/>
        <v>0</v>
      </c>
      <c r="H54" s="62">
        <f t="shared" si="9"/>
        <v>0</v>
      </c>
      <c r="I54" t="str">
        <f>VLOOKUP(A54,'Begr.-Rechner int. Prod.'!$A$4:$I$59,9,0)</f>
        <v>Kreuzblütler</v>
      </c>
      <c r="M54" t="s">
        <v>227</v>
      </c>
      <c r="N54" t="s">
        <v>227</v>
      </c>
      <c r="O54" t="str">
        <f t="shared" si="4"/>
        <v>nein</v>
      </c>
      <c r="P54" t="str">
        <f t="shared" si="5"/>
        <v/>
      </c>
      <c r="V54" s="173" t="str">
        <f t="shared" si="10"/>
        <v/>
      </c>
    </row>
    <row r="55" spans="1:22" ht="21.75" customHeight="1" thickBot="1" x14ac:dyDescent="0.25">
      <c r="A55" s="166" t="s">
        <v>556</v>
      </c>
      <c r="B55" s="55">
        <f>'Begr.-Rechner int. Prod.'!B56</f>
        <v>3.5649999999999999</v>
      </c>
      <c r="C55" s="56">
        <f>'Begr.-Rechner int. Prod.'!C56</f>
        <v>15</v>
      </c>
      <c r="D55" s="15">
        <f t="shared" si="0"/>
        <v>53.475000000000001</v>
      </c>
      <c r="E55" s="143">
        <f>'Begr.-Rechner int. Prod.'!E56</f>
        <v>0</v>
      </c>
      <c r="F55" s="60">
        <f t="shared" ref="F55:F58" si="11">IF(ISERROR(E55*B55),0,(E55*B55))</f>
        <v>0</v>
      </c>
      <c r="G55" s="61">
        <f t="shared" ref="G55:G58" si="12">IF(ISERROR(E55/C55),0,(E55/C55))</f>
        <v>0</v>
      </c>
      <c r="H55" s="62">
        <f t="shared" ref="H55:H58" si="13">IF(ISERROR($I$2*E55),0,($I$2*E55))</f>
        <v>0</v>
      </c>
      <c r="I55" t="str">
        <f>VLOOKUP(A55,'Begr.-Rechner int. Prod.'!$A$4:$I$59,9,0)</f>
        <v>Kreuzblütler</v>
      </c>
      <c r="M55" t="s">
        <v>338</v>
      </c>
      <c r="N55" t="s">
        <v>227</v>
      </c>
      <c r="O55" t="str">
        <f t="shared" si="4"/>
        <v>nein</v>
      </c>
      <c r="P55" t="str">
        <f t="shared" si="5"/>
        <v/>
      </c>
      <c r="V55" s="173" t="str">
        <f t="shared" si="10"/>
        <v/>
      </c>
    </row>
    <row r="56" spans="1:22" ht="21.75" customHeight="1" thickBot="1" x14ac:dyDescent="0.25">
      <c r="A56" s="166" t="s">
        <v>42</v>
      </c>
      <c r="B56" s="55">
        <f>'Begr.-Rechner int. Prod.'!B57</f>
        <v>2.7450000000000001</v>
      </c>
      <c r="C56" s="56">
        <f>'Begr.-Rechner int. Prod.'!C57</f>
        <v>100</v>
      </c>
      <c r="D56" s="15">
        <f t="shared" si="0"/>
        <v>274.5</v>
      </c>
      <c r="E56" s="143">
        <f>'Begr.-Rechner int. Prod.'!E57</f>
        <v>0</v>
      </c>
      <c r="F56" s="60">
        <f t="shared" si="11"/>
        <v>0</v>
      </c>
      <c r="G56" s="61">
        <f t="shared" si="12"/>
        <v>0</v>
      </c>
      <c r="H56" s="62">
        <f t="shared" si="13"/>
        <v>0</v>
      </c>
      <c r="I56" t="str">
        <f>VLOOKUP(A56,'Begr.-Rechner int. Prod.'!$A$4:$I$59,9,0)</f>
        <v>Leguminose</v>
      </c>
      <c r="M56" t="s">
        <v>338</v>
      </c>
      <c r="N56" t="s">
        <v>338</v>
      </c>
      <c r="O56" t="str">
        <f t="shared" si="4"/>
        <v>nein</v>
      </c>
      <c r="P56" t="str">
        <f t="shared" si="5"/>
        <v/>
      </c>
      <c r="V56" s="173" t="str">
        <f t="shared" si="10"/>
        <v/>
      </c>
    </row>
    <row r="57" spans="1:22" ht="21.75" customHeight="1" thickBot="1" x14ac:dyDescent="0.25">
      <c r="A57" s="166" t="s">
        <v>408</v>
      </c>
      <c r="B57" s="55">
        <f>'Begr.-Rechner int. Prod.'!B58</f>
        <v>26.01</v>
      </c>
      <c r="C57" s="56">
        <f>'Begr.-Rechner int. Prod.'!C58</f>
        <v>15</v>
      </c>
      <c r="D57" s="15">
        <f t="shared" si="0"/>
        <v>390.15000000000003</v>
      </c>
      <c r="E57" s="143">
        <f>'Begr.-Rechner int. Prod.'!E58</f>
        <v>0</v>
      </c>
      <c r="F57" s="60">
        <f t="shared" si="11"/>
        <v>0</v>
      </c>
      <c r="G57" s="61">
        <f t="shared" si="12"/>
        <v>0</v>
      </c>
      <c r="H57" s="62">
        <f t="shared" si="13"/>
        <v>0</v>
      </c>
      <c r="I57" t="str">
        <f>VLOOKUP(A57,'Begr.-Rechner int. Prod.'!$A$4:$I$59,9,0)</f>
        <v>Korbblütler</v>
      </c>
      <c r="M57" t="s">
        <v>227</v>
      </c>
      <c r="N57" t="s">
        <v>338</v>
      </c>
      <c r="O57" t="str">
        <f t="shared" si="4"/>
        <v>nein</v>
      </c>
      <c r="P57" t="str">
        <f t="shared" si="5"/>
        <v/>
      </c>
      <c r="V57" s="173" t="str">
        <f t="shared" si="10"/>
        <v/>
      </c>
    </row>
    <row r="58" spans="1:22" ht="21.75" customHeight="1" thickBot="1" x14ac:dyDescent="0.25">
      <c r="A58" s="166" t="s">
        <v>409</v>
      </c>
      <c r="B58" s="55">
        <f>'Begr.-Rechner int. Prod.'!B59</f>
        <v>5.83</v>
      </c>
      <c r="C58" s="56">
        <f>'Begr.-Rechner int. Prod.'!C59</f>
        <v>12</v>
      </c>
      <c r="D58" s="15">
        <f t="shared" si="0"/>
        <v>69.960000000000008</v>
      </c>
      <c r="E58" s="143">
        <f>'Begr.-Rechner int. Prod.'!E59</f>
        <v>0</v>
      </c>
      <c r="F58" s="60">
        <f t="shared" si="11"/>
        <v>0</v>
      </c>
      <c r="G58" s="61">
        <f t="shared" si="12"/>
        <v>0</v>
      </c>
      <c r="H58" s="62">
        <f t="shared" si="13"/>
        <v>0</v>
      </c>
      <c r="I58" t="str">
        <f>VLOOKUP(A58,'Begr.-Rechner int. Prod.'!$A$4:$I$59,9,0)</f>
        <v>Gräser</v>
      </c>
      <c r="M58" t="s">
        <v>227</v>
      </c>
      <c r="N58" t="s">
        <v>227</v>
      </c>
      <c r="O58" t="str">
        <f t="shared" si="4"/>
        <v>nein</v>
      </c>
      <c r="P58" t="str">
        <f t="shared" si="5"/>
        <v/>
      </c>
      <c r="V58" s="173" t="str">
        <f t="shared" si="10"/>
        <v/>
      </c>
    </row>
    <row r="59" spans="1:22" ht="21.75" customHeight="1" thickTop="1" thickBot="1" x14ac:dyDescent="0.25">
      <c r="A59" s="195" t="s">
        <v>105</v>
      </c>
      <c r="B59" s="55">
        <f>'Begr.-Rechner int. Prod.'!B60</f>
        <v>0</v>
      </c>
      <c r="C59" s="56">
        <f>'Begr.-Rechner int. Prod.'!C60</f>
        <v>0</v>
      </c>
      <c r="D59" s="196">
        <f t="shared" ref="D59:D65" si="14">IF(ISERROR(C59*B59),0,C59*B59)</f>
        <v>0</v>
      </c>
      <c r="E59" s="197">
        <f>'Begr.-Rechner int. Prod.'!E60</f>
        <v>0</v>
      </c>
      <c r="F59" s="198">
        <f t="shared" ref="F59:F65" si="15">IF(ISERROR(E59*B59),0,(E59*B59))</f>
        <v>0</v>
      </c>
      <c r="G59" s="199">
        <f t="shared" ref="G59:G65" si="16">IF(ISERROR(E59/C59),0,(E59/C59))</f>
        <v>0</v>
      </c>
      <c r="H59" s="200">
        <f t="shared" ref="H59:H65" si="17">IF(ISERROR($I$2*E59),0,($I$2*E59))</f>
        <v>0</v>
      </c>
      <c r="I59" s="201">
        <f>IF(AND('Begr.-Rechner int. Prod.'!I60="",O59="ja"),"keine Angabe",'Begr.-Rechner int. Prod.'!I60)</f>
        <v>0</v>
      </c>
      <c r="M59" t="str">
        <f>IF('Begr.-Rechner int. Prod.'!$N60="","nein",IF('Begr.-Rechner int. Prod.'!$N60&lt;&gt;"","ja"))</f>
        <v>nein</v>
      </c>
      <c r="N59" s="167" t="str">
        <f>IF(AND(O59="ja",'Begr.-Rechner int. Prod.'!I60&lt;&gt;""),'Begr.-Rechner int. Prod.'!L60,"")</f>
        <v/>
      </c>
      <c r="O59" t="str">
        <f t="shared" ref="O59:O65" si="18">IF(E59&gt;0,"ja","nein")</f>
        <v>nein</v>
      </c>
      <c r="P59" t="str">
        <f t="shared" si="5"/>
        <v/>
      </c>
      <c r="V59" s="173" t="str">
        <f t="shared" si="10"/>
        <v/>
      </c>
    </row>
    <row r="60" spans="1:22" ht="21.75" customHeight="1" thickTop="1" thickBot="1" x14ac:dyDescent="0.25">
      <c r="A60" s="202" t="s">
        <v>106</v>
      </c>
      <c r="B60" s="55">
        <f>'Begr.-Rechner int. Prod.'!B61</f>
        <v>0</v>
      </c>
      <c r="C60" s="56">
        <f>'Begr.-Rechner int. Prod.'!C61</f>
        <v>0</v>
      </c>
      <c r="D60" s="203">
        <f t="shared" si="14"/>
        <v>0</v>
      </c>
      <c r="E60" s="204">
        <f>'Begr.-Rechner int. Prod.'!E61</f>
        <v>0</v>
      </c>
      <c r="F60" s="205">
        <f t="shared" si="15"/>
        <v>0</v>
      </c>
      <c r="G60" s="191">
        <f t="shared" si="16"/>
        <v>0</v>
      </c>
      <c r="H60" s="192">
        <f t="shared" si="17"/>
        <v>0</v>
      </c>
      <c r="I60" s="201">
        <f>IF(AND('Begr.-Rechner int. Prod.'!I61="",O60="ja"),"keine Angabe",'Begr.-Rechner int. Prod.'!I61)</f>
        <v>0</v>
      </c>
      <c r="M60" t="str">
        <f>IF('Begr.-Rechner int. Prod.'!$N61="","nein",IF('Begr.-Rechner int. Prod.'!$N61&lt;&gt;"","ja"))</f>
        <v>nein</v>
      </c>
      <c r="N60" s="167" t="str">
        <f>IF(AND(O60="ja",'Begr.-Rechner int. Prod.'!I61&lt;&gt;""),'Begr.-Rechner int. Prod.'!L61,"")</f>
        <v/>
      </c>
      <c r="O60" t="str">
        <f t="shared" si="18"/>
        <v>nein</v>
      </c>
      <c r="P60" t="str">
        <f t="shared" si="5"/>
        <v/>
      </c>
      <c r="V60" s="173" t="str">
        <f t="shared" si="10"/>
        <v/>
      </c>
    </row>
    <row r="61" spans="1:22" ht="21.75" customHeight="1" thickTop="1" thickBot="1" x14ac:dyDescent="0.25">
      <c r="A61" s="202" t="s">
        <v>107</v>
      </c>
      <c r="B61" s="55">
        <f>'Begr.-Rechner int. Prod.'!B62</f>
        <v>0</v>
      </c>
      <c r="C61" s="56">
        <f>'Begr.-Rechner int. Prod.'!C62</f>
        <v>0</v>
      </c>
      <c r="D61" s="203">
        <f t="shared" si="14"/>
        <v>0</v>
      </c>
      <c r="E61" s="204">
        <f>'Begr.-Rechner int. Prod.'!E62</f>
        <v>0</v>
      </c>
      <c r="F61" s="205">
        <f t="shared" si="15"/>
        <v>0</v>
      </c>
      <c r="G61" s="191">
        <f t="shared" si="16"/>
        <v>0</v>
      </c>
      <c r="H61" s="192">
        <f t="shared" si="17"/>
        <v>0</v>
      </c>
      <c r="I61" s="201">
        <f>IF(AND('Begr.-Rechner int. Prod.'!I62="",O61="ja"),"keine Angabe",'Begr.-Rechner int. Prod.'!I62)</f>
        <v>0</v>
      </c>
      <c r="M61" t="str">
        <f>IF('Begr.-Rechner int. Prod.'!$N62="","nein",IF('Begr.-Rechner int. Prod.'!$N62&lt;&gt;"","ja"))</f>
        <v>nein</v>
      </c>
      <c r="N61" s="167" t="str">
        <f>IF(AND(O61="ja",'Begr.-Rechner int. Prod.'!I62&lt;&gt;""),'Begr.-Rechner int. Prod.'!L62,"")</f>
        <v/>
      </c>
      <c r="O61" t="str">
        <f t="shared" si="18"/>
        <v>nein</v>
      </c>
      <c r="P61" t="str">
        <f t="shared" si="5"/>
        <v/>
      </c>
      <c r="V61" s="173" t="str">
        <f t="shared" si="10"/>
        <v/>
      </c>
    </row>
    <row r="62" spans="1:22" ht="21.75" customHeight="1" thickTop="1" thickBot="1" x14ac:dyDescent="0.25">
      <c r="A62" s="202" t="s">
        <v>108</v>
      </c>
      <c r="B62" s="55">
        <f>'Begr.-Rechner int. Prod.'!B63</f>
        <v>0</v>
      </c>
      <c r="C62" s="56">
        <f>'Begr.-Rechner int. Prod.'!C63</f>
        <v>0</v>
      </c>
      <c r="D62" s="203">
        <f t="shared" si="14"/>
        <v>0</v>
      </c>
      <c r="E62" s="204">
        <f>'Begr.-Rechner int. Prod.'!E63</f>
        <v>0</v>
      </c>
      <c r="F62" s="205">
        <f t="shared" si="15"/>
        <v>0</v>
      </c>
      <c r="G62" s="191">
        <f t="shared" si="16"/>
        <v>0</v>
      </c>
      <c r="H62" s="192">
        <f t="shared" si="17"/>
        <v>0</v>
      </c>
      <c r="I62" s="201">
        <f>IF(AND('Begr.-Rechner int. Prod.'!I63="",O62="ja"),"keine Angabe",'Begr.-Rechner int. Prod.'!I63)</f>
        <v>0</v>
      </c>
      <c r="M62" t="str">
        <f>IF('Begr.-Rechner int. Prod.'!$N63="","nein",IF('Begr.-Rechner int. Prod.'!$N63&lt;&gt;"","ja"))</f>
        <v>nein</v>
      </c>
      <c r="N62" s="167" t="str">
        <f>IF(AND(O62="ja",'Begr.-Rechner int. Prod.'!I63&lt;&gt;""),'Begr.-Rechner int. Prod.'!L63,"")</f>
        <v/>
      </c>
      <c r="O62" t="str">
        <f t="shared" si="18"/>
        <v>nein</v>
      </c>
      <c r="P62" t="str">
        <f t="shared" si="5"/>
        <v/>
      </c>
      <c r="V62" s="173" t="str">
        <f t="shared" si="10"/>
        <v/>
      </c>
    </row>
    <row r="63" spans="1:22" ht="21.75" customHeight="1" thickTop="1" thickBot="1" x14ac:dyDescent="0.25">
      <c r="A63" s="202" t="s">
        <v>109</v>
      </c>
      <c r="B63" s="55">
        <f>'Begr.-Rechner int. Prod.'!B64</f>
        <v>0</v>
      </c>
      <c r="C63" s="56">
        <f>'Begr.-Rechner int. Prod.'!C64</f>
        <v>0</v>
      </c>
      <c r="D63" s="203">
        <f t="shared" si="14"/>
        <v>0</v>
      </c>
      <c r="E63" s="204">
        <f>'Begr.-Rechner int. Prod.'!E64</f>
        <v>0</v>
      </c>
      <c r="F63" s="205">
        <f t="shared" si="15"/>
        <v>0</v>
      </c>
      <c r="G63" s="191">
        <f t="shared" si="16"/>
        <v>0</v>
      </c>
      <c r="H63" s="192">
        <f t="shared" si="17"/>
        <v>0</v>
      </c>
      <c r="I63" s="201">
        <f>IF(AND('Begr.-Rechner int. Prod.'!I64="",O63="ja"),"keine Angabe",'Begr.-Rechner int. Prod.'!I64)</f>
        <v>0</v>
      </c>
      <c r="M63" t="str">
        <f>IF('Begr.-Rechner int. Prod.'!$N64="","nein",IF('Begr.-Rechner int. Prod.'!$N64&lt;&gt;"","ja"))</f>
        <v>nein</v>
      </c>
      <c r="N63" s="167" t="str">
        <f>IF(AND(O63="ja",'Begr.-Rechner int. Prod.'!I64&lt;&gt;""),'Begr.-Rechner int. Prod.'!L64,"")</f>
        <v/>
      </c>
      <c r="O63" t="str">
        <f t="shared" si="18"/>
        <v>nein</v>
      </c>
      <c r="P63" t="str">
        <f t="shared" si="5"/>
        <v/>
      </c>
      <c r="V63" s="173" t="str">
        <f t="shared" si="10"/>
        <v/>
      </c>
    </row>
    <row r="64" spans="1:22" ht="21.75" customHeight="1" thickTop="1" thickBot="1" x14ac:dyDescent="0.25">
      <c r="A64" s="202" t="s">
        <v>110</v>
      </c>
      <c r="B64" s="55">
        <f>'Begr.-Rechner int. Prod.'!B65</f>
        <v>0</v>
      </c>
      <c r="C64" s="56">
        <f>'Begr.-Rechner int. Prod.'!C65</f>
        <v>0</v>
      </c>
      <c r="D64" s="203">
        <f t="shared" si="14"/>
        <v>0</v>
      </c>
      <c r="E64" s="204">
        <f>'Begr.-Rechner int. Prod.'!E65</f>
        <v>0</v>
      </c>
      <c r="F64" s="205">
        <f t="shared" si="15"/>
        <v>0</v>
      </c>
      <c r="G64" s="191">
        <f t="shared" si="16"/>
        <v>0</v>
      </c>
      <c r="H64" s="192">
        <f t="shared" si="17"/>
        <v>0</v>
      </c>
      <c r="I64" s="201">
        <f>IF(AND('Begr.-Rechner int. Prod.'!I65="",O64="ja"),"keine Angabe",'Begr.-Rechner int. Prod.'!I65)</f>
        <v>0</v>
      </c>
      <c r="M64" t="str">
        <f>IF('Begr.-Rechner int. Prod.'!$N65="","nein",IF('Begr.-Rechner int. Prod.'!$N65&lt;&gt;"","ja"))</f>
        <v>nein</v>
      </c>
      <c r="N64" s="167" t="str">
        <f>IF(AND(O64="ja",'Begr.-Rechner int. Prod.'!I65&lt;&gt;""),'Begr.-Rechner int. Prod.'!L65,"")</f>
        <v/>
      </c>
      <c r="O64" t="str">
        <f t="shared" si="18"/>
        <v>nein</v>
      </c>
      <c r="P64" t="str">
        <f t="shared" si="5"/>
        <v/>
      </c>
      <c r="V64" s="173" t="str">
        <f t="shared" si="10"/>
        <v/>
      </c>
    </row>
    <row r="65" spans="1:22" ht="21.75" customHeight="1" thickTop="1" thickBot="1" x14ac:dyDescent="0.25">
      <c r="A65" s="206" t="s">
        <v>111</v>
      </c>
      <c r="B65" s="55">
        <f>'Begr.-Rechner int. Prod.'!B66</f>
        <v>0</v>
      </c>
      <c r="C65" s="56">
        <f>'Begr.-Rechner int. Prod.'!C66</f>
        <v>0</v>
      </c>
      <c r="D65" s="207">
        <f t="shared" si="14"/>
        <v>0</v>
      </c>
      <c r="E65" s="208">
        <f>'Begr.-Rechner int. Prod.'!E66</f>
        <v>0</v>
      </c>
      <c r="F65" s="209">
        <f t="shared" si="15"/>
        <v>0</v>
      </c>
      <c r="G65" s="193">
        <f t="shared" si="16"/>
        <v>0</v>
      </c>
      <c r="H65" s="194">
        <f t="shared" si="17"/>
        <v>0</v>
      </c>
      <c r="I65" s="201">
        <f>IF(AND('Begr.-Rechner int. Prod.'!I66="",O65="ja"),"keine Angabe",'Begr.-Rechner int. Prod.'!I66)</f>
        <v>0</v>
      </c>
      <c r="M65" t="str">
        <f>IF('Begr.-Rechner int. Prod.'!$N66="","nein",IF('Begr.-Rechner int. Prod.'!$N66&lt;&gt;"","ja"))</f>
        <v>nein</v>
      </c>
      <c r="N65" s="167" t="str">
        <f>IF(AND(O65="ja",'Begr.-Rechner int. Prod.'!I66&lt;&gt;""),'Begr.-Rechner int. Prod.'!L66,"")</f>
        <v/>
      </c>
      <c r="O65" t="str">
        <f t="shared" si="18"/>
        <v>nein</v>
      </c>
      <c r="P65" t="str">
        <f t="shared" si="5"/>
        <v/>
      </c>
      <c r="V65" s="173" t="str">
        <f t="shared" si="10"/>
        <v/>
      </c>
    </row>
    <row r="66" spans="1:22" ht="21.75" customHeight="1" thickTop="1" x14ac:dyDescent="0.25">
      <c r="V66" s="277"/>
    </row>
    <row r="67" spans="1:22" ht="21.75" customHeight="1" x14ac:dyDescent="0.25">
      <c r="V67" s="253"/>
    </row>
    <row r="68" spans="1:22" ht="21.75" customHeight="1" x14ac:dyDescent="0.25">
      <c r="V68" s="253"/>
    </row>
    <row r="69" spans="1:22" ht="21.75" customHeight="1" x14ac:dyDescent="0.25">
      <c r="V69" s="253"/>
    </row>
    <row r="70" spans="1:22" ht="21.75" customHeight="1" x14ac:dyDescent="0.25">
      <c r="V70" s="253"/>
    </row>
    <row r="71" spans="1:22" ht="21.75" customHeight="1" x14ac:dyDescent="0.25">
      <c r="V71" s="253"/>
    </row>
    <row r="72" spans="1:22" ht="21.75" customHeight="1" x14ac:dyDescent="0.25">
      <c r="V72" s="253"/>
    </row>
    <row r="73" spans="1:22" ht="21.75" customHeight="1" x14ac:dyDescent="0.25">
      <c r="V73" s="253"/>
    </row>
    <row r="74" spans="1:22" ht="14.25" x14ac:dyDescent="0.2">
      <c r="A74" s="33"/>
      <c r="B74" s="32"/>
      <c r="C74" s="32"/>
      <c r="D74" s="32"/>
      <c r="E74" s="32"/>
      <c r="F74" s="32"/>
      <c r="G74" s="32"/>
      <c r="H74" s="32"/>
    </row>
    <row r="75" spans="1:22" ht="14.25" x14ac:dyDescent="0.2">
      <c r="A75" s="44"/>
      <c r="B75" s="32"/>
      <c r="C75" s="32"/>
      <c r="D75" s="32"/>
      <c r="E75" s="32"/>
      <c r="F75" s="32"/>
      <c r="G75" s="32"/>
      <c r="H75" s="32"/>
    </row>
    <row r="76" spans="1:22" ht="14.25" x14ac:dyDescent="0.2">
      <c r="A76" s="34"/>
      <c r="B76" s="32"/>
      <c r="C76" s="32"/>
      <c r="D76" s="32"/>
      <c r="E76" s="32"/>
      <c r="F76" s="32"/>
      <c r="G76" s="32"/>
      <c r="H76" s="32"/>
    </row>
    <row r="77" spans="1:22" ht="14.25" x14ac:dyDescent="0.2">
      <c r="B77"/>
    </row>
    <row r="78" spans="1:22" ht="14.25" x14ac:dyDescent="0.2">
      <c r="B78"/>
    </row>
    <row r="79" spans="1:22" ht="14.25" x14ac:dyDescent="0.2">
      <c r="B79"/>
    </row>
    <row r="80" spans="1:22" ht="14.25" x14ac:dyDescent="0.2">
      <c r="B80"/>
    </row>
    <row r="81" spans="2:2" ht="14.25" x14ac:dyDescent="0.2">
      <c r="B81"/>
    </row>
    <row r="82" spans="2:2" ht="14.25" x14ac:dyDescent="0.2">
      <c r="B82"/>
    </row>
    <row r="83" spans="2:2" ht="14.25" x14ac:dyDescent="0.2">
      <c r="B83"/>
    </row>
    <row r="84" spans="2:2" ht="14.25" x14ac:dyDescent="0.2">
      <c r="B84"/>
    </row>
    <row r="85" spans="2:2" ht="14.25" x14ac:dyDescent="0.2">
      <c r="B85"/>
    </row>
    <row r="86" spans="2:2" ht="14.25" x14ac:dyDescent="0.2">
      <c r="B86"/>
    </row>
    <row r="87" spans="2:2" ht="14.25" x14ac:dyDescent="0.2">
      <c r="B87"/>
    </row>
    <row r="88" spans="2:2" ht="14.25" x14ac:dyDescent="0.2">
      <c r="B88"/>
    </row>
    <row r="89" spans="2:2" ht="14.25" x14ac:dyDescent="0.2">
      <c r="B89"/>
    </row>
    <row r="90" spans="2:2" ht="14.25" x14ac:dyDescent="0.2">
      <c r="B90"/>
    </row>
    <row r="91" spans="2:2" ht="14.25" x14ac:dyDescent="0.2">
      <c r="B91"/>
    </row>
    <row r="92" spans="2:2" ht="14.25" x14ac:dyDescent="0.2">
      <c r="B92"/>
    </row>
    <row r="93" spans="2:2" ht="14.25" x14ac:dyDescent="0.2">
      <c r="B93"/>
    </row>
    <row r="94" spans="2:2" ht="14.25" x14ac:dyDescent="0.2">
      <c r="B94"/>
    </row>
    <row r="95" spans="2:2" ht="14.25" x14ac:dyDescent="0.2">
      <c r="B95"/>
    </row>
    <row r="96" spans="2:2" ht="14.25" x14ac:dyDescent="0.2">
      <c r="B96"/>
    </row>
    <row r="97" spans="2:2" ht="14.25" x14ac:dyDescent="0.2">
      <c r="B97"/>
    </row>
    <row r="98" spans="2:2" ht="14.25" x14ac:dyDescent="0.2">
      <c r="B98"/>
    </row>
    <row r="99" spans="2:2" ht="14.25" x14ac:dyDescent="0.2">
      <c r="B99"/>
    </row>
    <row r="100" spans="2:2" ht="14.25" x14ac:dyDescent="0.2">
      <c r="B100"/>
    </row>
    <row r="101" spans="2:2" ht="14.25" x14ac:dyDescent="0.2">
      <c r="B101"/>
    </row>
    <row r="102" spans="2:2" ht="14.25" x14ac:dyDescent="0.2">
      <c r="B102"/>
    </row>
    <row r="103" spans="2:2" ht="14.25" x14ac:dyDescent="0.2">
      <c r="B103"/>
    </row>
    <row r="104" spans="2:2" ht="14.25" x14ac:dyDescent="0.2">
      <c r="B104"/>
    </row>
    <row r="105" spans="2:2" ht="14.25" x14ac:dyDescent="0.2">
      <c r="B105"/>
    </row>
    <row r="106" spans="2:2" ht="14.25" x14ac:dyDescent="0.2">
      <c r="B106"/>
    </row>
    <row r="107" spans="2:2" ht="14.25" x14ac:dyDescent="0.2">
      <c r="B107"/>
    </row>
    <row r="108" spans="2:2" ht="14.25" x14ac:dyDescent="0.2">
      <c r="B108"/>
    </row>
    <row r="109" spans="2:2" ht="14.25" x14ac:dyDescent="0.2">
      <c r="B109"/>
    </row>
    <row r="110" spans="2:2" ht="14.25" x14ac:dyDescent="0.2">
      <c r="B110"/>
    </row>
    <row r="111" spans="2:2" ht="14.25" x14ac:dyDescent="0.2">
      <c r="B111"/>
    </row>
    <row r="112" spans="2:2" ht="14.25" x14ac:dyDescent="0.2">
      <c r="B112"/>
    </row>
    <row r="113" spans="2:2" ht="14.25" x14ac:dyDescent="0.2">
      <c r="B113"/>
    </row>
    <row r="114" spans="2:2" ht="14.25" x14ac:dyDescent="0.2">
      <c r="B114"/>
    </row>
    <row r="115" spans="2:2" ht="14.25" x14ac:dyDescent="0.2">
      <c r="B115"/>
    </row>
    <row r="116" spans="2:2" ht="14.25" x14ac:dyDescent="0.2">
      <c r="B116"/>
    </row>
    <row r="117" spans="2:2" ht="14.25" x14ac:dyDescent="0.2">
      <c r="B117"/>
    </row>
    <row r="118" spans="2:2" ht="14.25" x14ac:dyDescent="0.2">
      <c r="B118"/>
    </row>
    <row r="119" spans="2:2" ht="14.25" x14ac:dyDescent="0.2">
      <c r="B119"/>
    </row>
    <row r="120" spans="2:2" ht="14.25" x14ac:dyDescent="0.2">
      <c r="B120"/>
    </row>
    <row r="121" spans="2:2" ht="14.25" x14ac:dyDescent="0.2">
      <c r="B121"/>
    </row>
    <row r="122" spans="2:2" ht="14.25" x14ac:dyDescent="0.2">
      <c r="B122"/>
    </row>
    <row r="123" spans="2:2" ht="14.25" x14ac:dyDescent="0.2">
      <c r="B123"/>
    </row>
    <row r="124" spans="2:2" ht="14.25" x14ac:dyDescent="0.2">
      <c r="B124"/>
    </row>
    <row r="125" spans="2:2" ht="14.25" x14ac:dyDescent="0.2">
      <c r="B125"/>
    </row>
    <row r="126" spans="2:2" ht="14.25" x14ac:dyDescent="0.2">
      <c r="B126"/>
    </row>
    <row r="127" spans="2:2" ht="14.25" x14ac:dyDescent="0.2">
      <c r="B127"/>
    </row>
    <row r="128" spans="2:2" ht="14.25" x14ac:dyDescent="0.2">
      <c r="B128"/>
    </row>
    <row r="129" spans="2:2" ht="14.25" x14ac:dyDescent="0.2">
      <c r="B129"/>
    </row>
    <row r="130" spans="2:2" ht="14.25" x14ac:dyDescent="0.2">
      <c r="B130"/>
    </row>
    <row r="131" spans="2:2" ht="14.25" x14ac:dyDescent="0.2">
      <c r="B131"/>
    </row>
    <row r="132" spans="2:2" ht="14.25" x14ac:dyDescent="0.2">
      <c r="B132"/>
    </row>
    <row r="133" spans="2:2" ht="14.25" x14ac:dyDescent="0.2">
      <c r="B133"/>
    </row>
    <row r="134" spans="2:2" ht="14.25" x14ac:dyDescent="0.2">
      <c r="B134"/>
    </row>
    <row r="135" spans="2:2" ht="14.25" x14ac:dyDescent="0.2">
      <c r="B135"/>
    </row>
    <row r="136" spans="2:2" ht="14.25" x14ac:dyDescent="0.2">
      <c r="B136"/>
    </row>
    <row r="137" spans="2:2" ht="14.25" x14ac:dyDescent="0.2">
      <c r="B137"/>
    </row>
    <row r="138" spans="2:2" ht="14.25" x14ac:dyDescent="0.2">
      <c r="B138"/>
    </row>
    <row r="139" spans="2:2" ht="14.25" x14ac:dyDescent="0.2">
      <c r="B139"/>
    </row>
    <row r="140" spans="2:2" ht="14.25" x14ac:dyDescent="0.2">
      <c r="B140"/>
    </row>
    <row r="141" spans="2:2" ht="14.25" x14ac:dyDescent="0.2">
      <c r="B141"/>
    </row>
    <row r="142" spans="2:2" ht="14.25" x14ac:dyDescent="0.2">
      <c r="B142"/>
    </row>
    <row r="143" spans="2:2" ht="14.25" x14ac:dyDescent="0.2">
      <c r="B143"/>
    </row>
    <row r="144" spans="2:2" ht="14.25" x14ac:dyDescent="0.2">
      <c r="B144"/>
    </row>
    <row r="145" spans="2:2" ht="14.25" x14ac:dyDescent="0.2">
      <c r="B145"/>
    </row>
    <row r="146" spans="2:2" ht="14.25" x14ac:dyDescent="0.2">
      <c r="B146"/>
    </row>
    <row r="147" spans="2:2" ht="14.25" x14ac:dyDescent="0.2">
      <c r="B147"/>
    </row>
    <row r="148" spans="2:2" ht="14.25" x14ac:dyDescent="0.2">
      <c r="B148"/>
    </row>
    <row r="149" spans="2:2" ht="14.25" x14ac:dyDescent="0.2">
      <c r="B149"/>
    </row>
    <row r="150" spans="2:2" ht="14.25" x14ac:dyDescent="0.2">
      <c r="B150"/>
    </row>
    <row r="151" spans="2:2" ht="14.25" x14ac:dyDescent="0.2">
      <c r="B151"/>
    </row>
    <row r="152" spans="2:2" ht="14.25" x14ac:dyDescent="0.2">
      <c r="B152"/>
    </row>
    <row r="153" spans="2:2" ht="14.25" x14ac:dyDescent="0.2">
      <c r="B153"/>
    </row>
    <row r="154" spans="2:2" ht="14.25" x14ac:dyDescent="0.2">
      <c r="B154"/>
    </row>
    <row r="155" spans="2:2" ht="14.25" x14ac:dyDescent="0.2">
      <c r="B155"/>
    </row>
    <row r="156" spans="2:2" ht="14.25" x14ac:dyDescent="0.2">
      <c r="B156"/>
    </row>
    <row r="157" spans="2:2" ht="14.25" x14ac:dyDescent="0.2">
      <c r="B157"/>
    </row>
    <row r="158" spans="2:2" ht="14.25" x14ac:dyDescent="0.2">
      <c r="B158"/>
    </row>
    <row r="159" spans="2:2" ht="14.25" x14ac:dyDescent="0.2">
      <c r="B159"/>
    </row>
    <row r="160" spans="2:2" ht="14.25" x14ac:dyDescent="0.2">
      <c r="B160"/>
    </row>
    <row r="161" spans="2:2" ht="14.25" x14ac:dyDescent="0.2">
      <c r="B161"/>
    </row>
    <row r="162" spans="2:2" ht="14.25" x14ac:dyDescent="0.2">
      <c r="B162"/>
    </row>
    <row r="163" spans="2:2" ht="14.25" x14ac:dyDescent="0.2">
      <c r="B163"/>
    </row>
    <row r="164" spans="2:2" ht="14.25" x14ac:dyDescent="0.2">
      <c r="B164"/>
    </row>
    <row r="165" spans="2:2" ht="14.25" x14ac:dyDescent="0.2">
      <c r="B165"/>
    </row>
    <row r="166" spans="2:2" ht="14.25" x14ac:dyDescent="0.2">
      <c r="B166"/>
    </row>
    <row r="167" spans="2:2" ht="14.25" x14ac:dyDescent="0.2">
      <c r="B167"/>
    </row>
    <row r="168" spans="2:2" ht="14.25" x14ac:dyDescent="0.2">
      <c r="B168"/>
    </row>
    <row r="169" spans="2:2" ht="14.25" x14ac:dyDescent="0.2">
      <c r="B169"/>
    </row>
    <row r="170" spans="2:2" ht="14.25" x14ac:dyDescent="0.2">
      <c r="B170"/>
    </row>
    <row r="171" spans="2:2" ht="14.25" x14ac:dyDescent="0.2">
      <c r="B171"/>
    </row>
    <row r="172" spans="2:2" ht="14.25" x14ac:dyDescent="0.2">
      <c r="B172"/>
    </row>
    <row r="173" spans="2:2" ht="14.25" x14ac:dyDescent="0.2">
      <c r="B173"/>
    </row>
    <row r="174" spans="2:2" ht="14.25" x14ac:dyDescent="0.2">
      <c r="B174"/>
    </row>
    <row r="175" spans="2:2" ht="14.25" x14ac:dyDescent="0.2">
      <c r="B175"/>
    </row>
    <row r="176" spans="2:2" ht="14.25" x14ac:dyDescent="0.2">
      <c r="B176"/>
    </row>
    <row r="177" spans="2:2" ht="14.25" x14ac:dyDescent="0.2">
      <c r="B177"/>
    </row>
    <row r="178" spans="2:2" ht="14.25" x14ac:dyDescent="0.2">
      <c r="B178"/>
    </row>
    <row r="179" spans="2:2" ht="14.25" x14ac:dyDescent="0.2">
      <c r="B179"/>
    </row>
    <row r="180" spans="2:2" ht="14.25" x14ac:dyDescent="0.2">
      <c r="B180"/>
    </row>
    <row r="181" spans="2:2" ht="14.25" x14ac:dyDescent="0.2">
      <c r="B181"/>
    </row>
    <row r="182" spans="2:2" ht="14.25" x14ac:dyDescent="0.2">
      <c r="B182"/>
    </row>
    <row r="183" spans="2:2" ht="14.25" x14ac:dyDescent="0.2">
      <c r="B183"/>
    </row>
    <row r="184" spans="2:2" ht="14.25" x14ac:dyDescent="0.2">
      <c r="B184"/>
    </row>
    <row r="185" spans="2:2" ht="14.25" x14ac:dyDescent="0.2">
      <c r="B185"/>
    </row>
    <row r="186" spans="2:2" ht="14.25" x14ac:dyDescent="0.2">
      <c r="B186"/>
    </row>
    <row r="187" spans="2:2" ht="14.25" x14ac:dyDescent="0.2">
      <c r="B187"/>
    </row>
    <row r="188" spans="2:2" ht="14.25" x14ac:dyDescent="0.2">
      <c r="B188"/>
    </row>
    <row r="189" spans="2:2" ht="14.25" x14ac:dyDescent="0.2">
      <c r="B189"/>
    </row>
    <row r="190" spans="2:2" ht="14.25" x14ac:dyDescent="0.2">
      <c r="B190"/>
    </row>
    <row r="191" spans="2:2" ht="14.25" x14ac:dyDescent="0.2">
      <c r="B191"/>
    </row>
    <row r="192" spans="2:2" ht="14.25" x14ac:dyDescent="0.2">
      <c r="B192"/>
    </row>
    <row r="193" spans="2:2" ht="14.25" x14ac:dyDescent="0.2">
      <c r="B193"/>
    </row>
    <row r="194" spans="2:2" ht="14.25" x14ac:dyDescent="0.2">
      <c r="B194"/>
    </row>
    <row r="195" spans="2:2" ht="14.25" x14ac:dyDescent="0.2">
      <c r="B195"/>
    </row>
    <row r="196" spans="2:2" ht="14.25" x14ac:dyDescent="0.2">
      <c r="B196"/>
    </row>
    <row r="197" spans="2:2" ht="14.25" x14ac:dyDescent="0.2">
      <c r="B197"/>
    </row>
    <row r="198" spans="2:2" ht="14.25" x14ac:dyDescent="0.2">
      <c r="B198"/>
    </row>
    <row r="199" spans="2:2" ht="14.25" x14ac:dyDescent="0.2">
      <c r="B199"/>
    </row>
    <row r="200" spans="2:2" ht="14.25" x14ac:dyDescent="0.2">
      <c r="B200"/>
    </row>
    <row r="201" spans="2:2" ht="14.25" x14ac:dyDescent="0.2">
      <c r="B201"/>
    </row>
    <row r="202" spans="2:2" ht="14.25" x14ac:dyDescent="0.2">
      <c r="B202"/>
    </row>
    <row r="203" spans="2:2" ht="14.25" x14ac:dyDescent="0.2">
      <c r="B203"/>
    </row>
    <row r="204" spans="2:2" ht="14.25" x14ac:dyDescent="0.2">
      <c r="B204"/>
    </row>
    <row r="205" spans="2:2" ht="14.25" x14ac:dyDescent="0.2">
      <c r="B205"/>
    </row>
    <row r="206" spans="2:2" ht="14.25" x14ac:dyDescent="0.2">
      <c r="B206"/>
    </row>
    <row r="207" spans="2:2" ht="14.25" x14ac:dyDescent="0.2">
      <c r="B207"/>
    </row>
    <row r="208" spans="2:2" ht="14.25" x14ac:dyDescent="0.2">
      <c r="B208"/>
    </row>
    <row r="209" spans="2:2" ht="14.25" x14ac:dyDescent="0.2">
      <c r="B209"/>
    </row>
    <row r="210" spans="2:2" ht="14.25" x14ac:dyDescent="0.2">
      <c r="B210"/>
    </row>
    <row r="211" spans="2:2" ht="14.25" x14ac:dyDescent="0.2">
      <c r="B211"/>
    </row>
    <row r="212" spans="2:2" ht="14.25" x14ac:dyDescent="0.2">
      <c r="B212"/>
    </row>
    <row r="213" spans="2:2" ht="14.25" x14ac:dyDescent="0.2">
      <c r="B213"/>
    </row>
    <row r="214" spans="2:2" ht="14.25" x14ac:dyDescent="0.2">
      <c r="B214"/>
    </row>
    <row r="215" spans="2:2" ht="14.25" x14ac:dyDescent="0.2">
      <c r="B215"/>
    </row>
    <row r="216" spans="2:2" ht="14.25" x14ac:dyDescent="0.2">
      <c r="B216"/>
    </row>
    <row r="217" spans="2:2" ht="14.25" x14ac:dyDescent="0.2">
      <c r="B217"/>
    </row>
    <row r="218" spans="2:2" ht="14.25" x14ac:dyDescent="0.2">
      <c r="B218"/>
    </row>
    <row r="219" spans="2:2" ht="14.25" x14ac:dyDescent="0.2">
      <c r="B219"/>
    </row>
    <row r="220" spans="2:2" ht="14.25" x14ac:dyDescent="0.2">
      <c r="B220"/>
    </row>
    <row r="221" spans="2:2" ht="14.25" x14ac:dyDescent="0.2">
      <c r="B221"/>
    </row>
    <row r="222" spans="2:2" ht="14.25" x14ac:dyDescent="0.2">
      <c r="B222"/>
    </row>
    <row r="223" spans="2:2" ht="14.25" x14ac:dyDescent="0.2">
      <c r="B223"/>
    </row>
    <row r="224" spans="2:2" ht="14.25" x14ac:dyDescent="0.2">
      <c r="B224"/>
    </row>
    <row r="225" spans="2:2" ht="14.25" x14ac:dyDescent="0.2">
      <c r="B225"/>
    </row>
    <row r="226" spans="2:2" ht="14.25" x14ac:dyDescent="0.2">
      <c r="B226"/>
    </row>
    <row r="227" spans="2:2" ht="14.25" x14ac:dyDescent="0.2">
      <c r="B227"/>
    </row>
    <row r="228" spans="2:2" ht="14.25" x14ac:dyDescent="0.2">
      <c r="B228"/>
    </row>
    <row r="229" spans="2:2" ht="14.25" x14ac:dyDescent="0.2">
      <c r="B229"/>
    </row>
    <row r="230" spans="2:2" ht="14.25" x14ac:dyDescent="0.2">
      <c r="B230"/>
    </row>
    <row r="231" spans="2:2" ht="14.25" x14ac:dyDescent="0.2">
      <c r="B231"/>
    </row>
    <row r="232" spans="2:2" ht="14.25" x14ac:dyDescent="0.2">
      <c r="B232"/>
    </row>
    <row r="233" spans="2:2" ht="14.25" x14ac:dyDescent="0.2">
      <c r="B233"/>
    </row>
    <row r="234" spans="2:2" ht="14.25" x14ac:dyDescent="0.2">
      <c r="B234"/>
    </row>
    <row r="235" spans="2:2" ht="14.25" x14ac:dyDescent="0.2">
      <c r="B235"/>
    </row>
    <row r="236" spans="2:2" ht="14.25" x14ac:dyDescent="0.2">
      <c r="B236"/>
    </row>
    <row r="237" spans="2:2" ht="14.25" x14ac:dyDescent="0.2">
      <c r="B237"/>
    </row>
    <row r="238" spans="2:2" ht="14.25" x14ac:dyDescent="0.2">
      <c r="B238"/>
    </row>
    <row r="239" spans="2:2" ht="14.25" x14ac:dyDescent="0.2">
      <c r="B239"/>
    </row>
    <row r="240" spans="2:2" ht="14.25" x14ac:dyDescent="0.2">
      <c r="B240"/>
    </row>
    <row r="241" spans="2:2" ht="14.25" x14ac:dyDescent="0.2">
      <c r="B241"/>
    </row>
    <row r="242" spans="2:2" ht="14.25" x14ac:dyDescent="0.2">
      <c r="B242"/>
    </row>
    <row r="243" spans="2:2" ht="14.25" x14ac:dyDescent="0.2">
      <c r="B243"/>
    </row>
    <row r="244" spans="2:2" ht="14.25" x14ac:dyDescent="0.2">
      <c r="B244"/>
    </row>
    <row r="245" spans="2:2" ht="14.25" x14ac:dyDescent="0.2">
      <c r="B245"/>
    </row>
    <row r="246" spans="2:2" ht="14.25" x14ac:dyDescent="0.2">
      <c r="B246"/>
    </row>
    <row r="247" spans="2:2" ht="14.25" x14ac:dyDescent="0.2">
      <c r="B247"/>
    </row>
    <row r="248" spans="2:2" ht="14.25" x14ac:dyDescent="0.2">
      <c r="B248"/>
    </row>
    <row r="249" spans="2:2" ht="14.25" x14ac:dyDescent="0.2">
      <c r="B249"/>
    </row>
    <row r="250" spans="2:2" ht="14.25" x14ac:dyDescent="0.2">
      <c r="B250"/>
    </row>
    <row r="251" spans="2:2" ht="14.25" x14ac:dyDescent="0.2">
      <c r="B251"/>
    </row>
    <row r="252" spans="2:2" ht="14.25" x14ac:dyDescent="0.2">
      <c r="B252"/>
    </row>
    <row r="253" spans="2:2" ht="14.25" x14ac:dyDescent="0.2">
      <c r="B253"/>
    </row>
    <row r="254" spans="2:2" ht="14.25" x14ac:dyDescent="0.2">
      <c r="B254"/>
    </row>
    <row r="255" spans="2:2" ht="14.25" x14ac:dyDescent="0.2">
      <c r="B255"/>
    </row>
    <row r="256" spans="2:2" ht="14.25" x14ac:dyDescent="0.2">
      <c r="B256"/>
    </row>
    <row r="257" spans="2:2" ht="14.25" x14ac:dyDescent="0.2">
      <c r="B257"/>
    </row>
    <row r="258" spans="2:2" ht="14.25" x14ac:dyDescent="0.2">
      <c r="B258"/>
    </row>
    <row r="259" spans="2:2" ht="14.25" x14ac:dyDescent="0.2">
      <c r="B259"/>
    </row>
    <row r="260" spans="2:2" ht="14.25" x14ac:dyDescent="0.2">
      <c r="B260"/>
    </row>
    <row r="261" spans="2:2" ht="14.25" x14ac:dyDescent="0.2">
      <c r="B261"/>
    </row>
    <row r="262" spans="2:2" ht="14.25" x14ac:dyDescent="0.2">
      <c r="B262"/>
    </row>
    <row r="263" spans="2:2" ht="14.25" x14ac:dyDescent="0.2">
      <c r="B263"/>
    </row>
    <row r="264" spans="2:2" ht="14.25" x14ac:dyDescent="0.2">
      <c r="B264"/>
    </row>
    <row r="265" spans="2:2" ht="14.25" x14ac:dyDescent="0.2">
      <c r="B265"/>
    </row>
    <row r="266" spans="2:2" ht="14.25" x14ac:dyDescent="0.2">
      <c r="B266"/>
    </row>
    <row r="267" spans="2:2" ht="14.25" x14ac:dyDescent="0.2">
      <c r="B267"/>
    </row>
    <row r="268" spans="2:2" ht="14.25" x14ac:dyDescent="0.2">
      <c r="B268"/>
    </row>
    <row r="269" spans="2:2" ht="14.25" x14ac:dyDescent="0.2">
      <c r="B269"/>
    </row>
    <row r="270" spans="2:2" ht="14.25" x14ac:dyDescent="0.2">
      <c r="B270"/>
    </row>
    <row r="271" spans="2:2" ht="14.25" x14ac:dyDescent="0.2">
      <c r="B271"/>
    </row>
    <row r="272" spans="2:2" ht="14.25" x14ac:dyDescent="0.2">
      <c r="B272"/>
    </row>
    <row r="273" spans="2:2" ht="14.25" x14ac:dyDescent="0.2">
      <c r="B273"/>
    </row>
    <row r="274" spans="2:2" ht="14.25" x14ac:dyDescent="0.2">
      <c r="B274"/>
    </row>
    <row r="275" spans="2:2" ht="14.25" x14ac:dyDescent="0.2">
      <c r="B275"/>
    </row>
  </sheetData>
  <sheetProtection algorithmName="SHA-512" hashValue="QaMIUYkJpPvC9CeD9Ly5ZoXPR2evXgG22heo2MkmCqNgbF/UXpx+dl248I4CoRCziZLjp6/iggdbSXOJlNBQiw==" saltValue="Q6gQLEN6FEV/aYm1LFexeA==" spinCount="100000" sheet="1" objects="1" scenarios="1"/>
  <mergeCells count="5">
    <mergeCell ref="E1:H1"/>
    <mergeCell ref="W1:X1"/>
    <mergeCell ref="K3:L3"/>
    <mergeCell ref="K4:L4"/>
    <mergeCell ref="Q8:S8"/>
  </mergeCells>
  <conditionalFormatting sqref="I1:I2">
    <cfRule type="expression" dxfId="37" priority="1">
      <formula>$I$2=""</formula>
    </cfRule>
  </conditionalFormatting>
  <pageMargins left="0.7" right="0.7" top="0.78740157499999996" bottom="0.78740157499999996" header="0.3" footer="0.3"/>
  <pageSetup paperSize="9" scale="48" fitToHeight="3"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993E0-73D9-4C73-B3CA-E04E48B892EE}">
  <sheetPr>
    <tabColor theme="7" tint="-0.249977111117893"/>
    <pageSetUpPr fitToPage="1"/>
  </sheetPr>
  <dimension ref="A1:AD49"/>
  <sheetViews>
    <sheetView showZeros="0" zoomScale="85" zoomScaleNormal="85" workbookViewId="0">
      <selection activeCell="A3" sqref="A3"/>
    </sheetView>
  </sheetViews>
  <sheetFormatPr baseColWidth="10" defaultRowHeight="14.25" x14ac:dyDescent="0.2"/>
  <cols>
    <col min="1" max="1" width="47.625" customWidth="1"/>
    <col min="2" max="2" width="24.125" customWidth="1"/>
    <col min="3" max="3" width="22" customWidth="1"/>
    <col min="4" max="4" width="23.25" customWidth="1"/>
    <col min="5" max="5" width="24.5" customWidth="1"/>
    <col min="6" max="6" width="28.625" customWidth="1"/>
    <col min="7" max="7" width="16.5" customWidth="1"/>
    <col min="8" max="8" width="25" customWidth="1"/>
    <col min="9" max="9" width="13.25" customWidth="1"/>
    <col min="10" max="10" width="19.75" bestFit="1" customWidth="1"/>
    <col min="13" max="13" width="11" customWidth="1"/>
    <col min="14" max="15" width="11" hidden="1" customWidth="1"/>
    <col min="16" max="16" width="71.875" hidden="1" customWidth="1"/>
    <col min="17" max="17" width="25" hidden="1" customWidth="1"/>
    <col min="18" max="18" width="35.125" hidden="1" customWidth="1"/>
    <col min="19" max="19" width="57.25" hidden="1" customWidth="1"/>
    <col min="20" max="21" width="34.875" hidden="1" customWidth="1"/>
    <col min="22" max="22" width="46.75" hidden="1" customWidth="1"/>
    <col min="23" max="23" width="11" hidden="1" customWidth="1"/>
    <col min="24" max="24" width="21.375" hidden="1" customWidth="1"/>
    <col min="25" max="27" width="19.25" hidden="1" customWidth="1"/>
    <col min="28" max="28" width="52.75" hidden="1" customWidth="1"/>
    <col min="29" max="29" width="17.75" hidden="1" customWidth="1"/>
    <col min="30" max="30" width="13.125" hidden="1" customWidth="1"/>
  </cols>
  <sheetData>
    <row r="1" spans="1:30" ht="39" customHeight="1" thickBot="1" x14ac:dyDescent="0.25">
      <c r="A1" s="573" t="s">
        <v>1057</v>
      </c>
      <c r="B1" s="573"/>
      <c r="C1" s="573"/>
      <c r="D1" s="573"/>
      <c r="E1" s="573"/>
      <c r="F1" s="573"/>
      <c r="G1" s="573"/>
      <c r="H1" s="573"/>
    </row>
    <row r="2" spans="1:30" ht="41.25" customHeight="1" thickBot="1" x14ac:dyDescent="0.25">
      <c r="A2" s="370" t="s">
        <v>933</v>
      </c>
      <c r="B2" s="414" t="s">
        <v>1084</v>
      </c>
      <c r="C2" s="574" t="str">
        <f>CONCATENATE("Aussaatstärke: ",ROUND(SUM(C6,D10,D11,D12,D13,D14,D15,D16,D17,D18),2)," kg/ha")</f>
        <v>Aussaatstärke: 0 kg/ha</v>
      </c>
      <c r="D2" s="575"/>
      <c r="E2" s="580" t="s">
        <v>1059</v>
      </c>
      <c r="F2" s="581"/>
      <c r="G2" s="371" t="s">
        <v>943</v>
      </c>
      <c r="H2" s="372" t="s">
        <v>941</v>
      </c>
      <c r="V2" t="s">
        <v>1052</v>
      </c>
    </row>
    <row r="3" spans="1:30" ht="36.75" customHeight="1" thickBot="1" x14ac:dyDescent="0.25">
      <c r="A3" s="361"/>
      <c r="B3" s="369"/>
      <c r="C3" s="576" t="str">
        <f>CONCATENATE("Saatgutmenge gesamt: ",ROUND(SUM(B6,B10,B11,B12,B13,B14,B15,B16,B17,B18),2)," kg")</f>
        <v>Saatgutmenge gesamt: 0 kg</v>
      </c>
      <c r="D3" s="577"/>
      <c r="E3" s="578">
        <f>IFERROR(ROUND(SUM(E6,E10,E11,E12,E13,E14,E15,E16,E17,E18),2),"")</f>
        <v>0</v>
      </c>
      <c r="F3" s="579"/>
      <c r="G3" s="373">
        <f>IFERROR(ROUND(SUM(H6,H10,H11,H12,H13,H14,H15,H16,H17,H18),2),"")</f>
        <v>0</v>
      </c>
      <c r="H3" s="374">
        <f>IFERROR(ROUND(SUM(G6,G10,G11,G12,G13,G14,G15,G16,G17,G18),2),"")</f>
        <v>0</v>
      </c>
      <c r="N3" t="s">
        <v>940</v>
      </c>
      <c r="P3" t="s">
        <v>1051</v>
      </c>
      <c r="Q3" t="s">
        <v>938</v>
      </c>
      <c r="R3" t="s">
        <v>876</v>
      </c>
      <c r="S3" t="s">
        <v>939</v>
      </c>
      <c r="T3" t="s">
        <v>940</v>
      </c>
      <c r="U3" t="s">
        <v>1047</v>
      </c>
      <c r="X3" s="155" t="s">
        <v>1049</v>
      </c>
      <c r="Y3" s="148" t="s">
        <v>1046</v>
      </c>
      <c r="Z3" s="148" t="s">
        <v>1055</v>
      </c>
      <c r="AA3" s="157" t="s">
        <v>1056</v>
      </c>
      <c r="AB3" s="148" t="s">
        <v>1050</v>
      </c>
      <c r="AC3" s="148" t="s">
        <v>1053</v>
      </c>
      <c r="AD3" s="148" t="s">
        <v>1054</v>
      </c>
    </row>
    <row r="4" spans="1:30" ht="15" thickBot="1" x14ac:dyDescent="0.25">
      <c r="N4" t="s">
        <v>938</v>
      </c>
      <c r="P4" t="s">
        <v>428</v>
      </c>
      <c r="Q4" t="s">
        <v>706</v>
      </c>
      <c r="R4" t="s">
        <v>364</v>
      </c>
      <c r="S4" t="s">
        <v>414</v>
      </c>
      <c r="T4" t="s">
        <v>500</v>
      </c>
      <c r="U4" t="s">
        <v>963</v>
      </c>
      <c r="V4" t="str">
        <f>IF($B$3="Agrana",T4,IF($B$3="DSV",Q4,IF($B$3="HESA",S4,IF($B$3="RWA (Die Saat)",P4,IF($B$3="Saatbau Linz",R4,IF($B$3="BWSB-Mischungen",U4,""))))))</f>
        <v/>
      </c>
      <c r="X4" s="362" t="e">
        <f>IF(VLOOKUP($A$6,'Komp.Misch.'!$A$78:$V$155,2,0)=0,"",VLOOKUP($A$6,'Komp.Misch.'!$A$78:$V$155,2,0))</f>
        <v>#N/A</v>
      </c>
      <c r="Y4" t="e">
        <f>IF(X4="","",VLOOKUP(X4,'Komp.Misch.'!$A$2:$C$70,3,0))</f>
        <v>#N/A</v>
      </c>
      <c r="Z4" t="e">
        <f>IF(X4&lt;&gt;"",1,"")</f>
        <v>#N/A</v>
      </c>
      <c r="AA4">
        <f>COUNTIFS($Y$4:$Y$24,Y4,$Z$4:$Z$24,1)</f>
        <v>0</v>
      </c>
      <c r="AB4" t="e">
        <f>IF(X4="","",CONCATENATE(X4," (",Y4,") "))</f>
        <v>#N/A</v>
      </c>
      <c r="AC4" s="253" t="e">
        <f>SUM($Z$4:$Z$24)</f>
        <v>#N/A</v>
      </c>
      <c r="AD4" cm="1">
        <f t="array" ref="AD4">SUM(1/COUNTIF(Y4:Y24,Y4:Y24))-1</f>
        <v>0</v>
      </c>
    </row>
    <row r="5" spans="1:30" ht="45.75" thickBot="1" x14ac:dyDescent="0.25">
      <c r="A5" s="359" t="s">
        <v>1048</v>
      </c>
      <c r="B5" s="360" t="s">
        <v>947</v>
      </c>
      <c r="C5" s="358" t="s">
        <v>954</v>
      </c>
      <c r="D5" s="360" t="s">
        <v>952</v>
      </c>
      <c r="E5" s="360" t="s">
        <v>1070</v>
      </c>
      <c r="F5" s="360" t="s">
        <v>950</v>
      </c>
      <c r="G5" s="360" t="s">
        <v>949</v>
      </c>
      <c r="H5" s="360" t="s">
        <v>951</v>
      </c>
      <c r="N5" t="s">
        <v>939</v>
      </c>
      <c r="P5" t="s">
        <v>934</v>
      </c>
      <c r="Q5" t="s">
        <v>506</v>
      </c>
      <c r="R5" t="s">
        <v>365</v>
      </c>
      <c r="S5" t="s">
        <v>355</v>
      </c>
      <c r="T5" t="s">
        <v>502</v>
      </c>
      <c r="U5" t="s">
        <v>964</v>
      </c>
      <c r="V5" t="str">
        <f t="shared" ref="V5:V26" si="0">IF($B$3="Agrana",T5,IF($B$3="DSV",Q5,IF($B$3="HESA",S5,IF($B$3="RWA (Die Saat)",P5,IF($B$3="Saatbau Linz",R5,IF($B$3="BWSB-Mischungen",U5,""))))))</f>
        <v/>
      </c>
      <c r="X5" s="363" t="e">
        <f>IF(VLOOKUP($A$6,'Komp.Misch.'!$A$78:$V$155,3,0)=0,"",VLOOKUP($A$6,'Komp.Misch.'!$A$78:$V$155,3,0))</f>
        <v>#N/A</v>
      </c>
      <c r="Y5" t="e">
        <f>IF(X5="","",VLOOKUP(X5,'Komp.Misch.'!$A$2:$C$70,3,0))</f>
        <v>#N/A</v>
      </c>
      <c r="Z5" t="e">
        <f t="shared" ref="Z5:Z24" si="1">IF(X5&lt;&gt;"",1,"")</f>
        <v>#N/A</v>
      </c>
      <c r="AA5">
        <f t="shared" ref="AA5:AA24" si="2">COUNTIFS($Y$4:$Y$24,Y5,$Z$4:$Z$24,1)</f>
        <v>0</v>
      </c>
      <c r="AB5" t="e">
        <f>IF(X5="","",CONCATENATE(", ",X5," (",Y5,") "))</f>
        <v>#N/A</v>
      </c>
    </row>
    <row r="6" spans="1:30" ht="50.1" customHeight="1" thickBot="1" x14ac:dyDescent="0.25">
      <c r="A6" s="368"/>
      <c r="B6" s="365"/>
      <c r="C6" s="376">
        <f>IFERROR(IF(A3="",ROUND(B6/1,2),ROUND(B6/A3,2)),"")</f>
        <v>0</v>
      </c>
      <c r="D6" s="376" t="str">
        <f>IFERROR(VLOOKUP(A6,Mischungen!$A$2:$C$79,2,0),"")</f>
        <v/>
      </c>
      <c r="E6" s="413" t="str">
        <f>IFERROR(C6/D6,"")</f>
        <v/>
      </c>
      <c r="F6" s="375" t="str">
        <f>IFERROR(VLOOKUP(A6,Mischungen!$A$2:$C$79,3,0),"")</f>
        <v/>
      </c>
      <c r="G6" s="375" t="str">
        <f>IFERROR(IF(F6="k.A","k.A",F6*B6),"")</f>
        <v/>
      </c>
      <c r="H6" s="375" t="str">
        <f>IFERROR(IF(F6="k.A","k.A",C6*F6),"")</f>
        <v/>
      </c>
      <c r="N6" t="s">
        <v>1051</v>
      </c>
      <c r="P6" t="s">
        <v>521</v>
      </c>
      <c r="Q6" t="s">
        <v>511</v>
      </c>
      <c r="R6" t="s">
        <v>447</v>
      </c>
      <c r="S6" t="s">
        <v>356</v>
      </c>
      <c r="U6" t="s">
        <v>965</v>
      </c>
      <c r="V6" t="str">
        <f t="shared" si="0"/>
        <v/>
      </c>
      <c r="X6" s="363" t="e">
        <f>IF(VLOOKUP($A$6,'Komp.Misch.'!$A$78:$V$155,4,0)=0,"",VLOOKUP($A$6,'Komp.Misch.'!$A$78:$V$155,4,0))</f>
        <v>#N/A</v>
      </c>
      <c r="Y6" t="e">
        <f>IF(X6="","",VLOOKUP(X6,'Komp.Misch.'!$A$2:$C$70,3,0))</f>
        <v>#N/A</v>
      </c>
      <c r="Z6" t="e">
        <f t="shared" si="1"/>
        <v>#N/A</v>
      </c>
      <c r="AA6">
        <f t="shared" si="2"/>
        <v>0</v>
      </c>
      <c r="AB6" t="e">
        <f t="shared" ref="AB6:AB24" si="3">IF(X6="","",CONCATENATE(", ",X6," (",Y6,") "))</f>
        <v>#N/A</v>
      </c>
    </row>
    <row r="7" spans="1:30" ht="24.95" customHeight="1" x14ac:dyDescent="0.2">
      <c r="A7" s="567" t="str">
        <f>IFERROR(CONCATENATE("enthaltene Komponenten: ",AC4," Mischungspartner aus ",AD4," Pflanzenfamilien"),"")</f>
        <v/>
      </c>
      <c r="B7" s="568"/>
      <c r="C7" s="568"/>
      <c r="D7" s="568"/>
      <c r="E7" s="568"/>
      <c r="F7" s="568"/>
      <c r="G7" s="568"/>
      <c r="H7" s="569"/>
      <c r="N7" t="s">
        <v>876</v>
      </c>
      <c r="P7" t="s">
        <v>431</v>
      </c>
      <c r="Q7" t="s">
        <v>709</v>
      </c>
      <c r="R7" t="s">
        <v>875</v>
      </c>
      <c r="S7" t="s">
        <v>723</v>
      </c>
      <c r="U7" t="s">
        <v>966</v>
      </c>
      <c r="V7" t="str">
        <f t="shared" si="0"/>
        <v/>
      </c>
      <c r="X7" s="363" t="e">
        <f>IF(VLOOKUP($A$6,'Komp.Misch.'!$A$78:$V$155,5,0)=0,"",VLOOKUP($A$6,'Komp.Misch.'!$A$78:$V$155,5,0))</f>
        <v>#N/A</v>
      </c>
      <c r="Y7" t="e">
        <f>IF(X7="","",VLOOKUP(X7,'Komp.Misch.'!$A$2:$C$70,3,0))</f>
        <v>#N/A</v>
      </c>
      <c r="Z7" t="e">
        <f t="shared" si="1"/>
        <v>#N/A</v>
      </c>
      <c r="AA7">
        <f t="shared" si="2"/>
        <v>0</v>
      </c>
      <c r="AB7" t="e">
        <f t="shared" si="3"/>
        <v>#N/A</v>
      </c>
    </row>
    <row r="8" spans="1:30" ht="46.5" customHeight="1" thickBot="1" x14ac:dyDescent="0.25">
      <c r="A8" s="570" t="str">
        <f>IFERROR(CONCATENATE(AB4,AB5,AB6,AB7,AB8,AB9,AB10,AB11,AB12,AB13,AB14,AB15,AB16,AB17,AB18,AB19,AB20,AB21,AB22,AB23,AB24),"")</f>
        <v/>
      </c>
      <c r="B8" s="571"/>
      <c r="C8" s="571"/>
      <c r="D8" s="571"/>
      <c r="E8" s="571"/>
      <c r="F8" s="571"/>
      <c r="G8" s="571"/>
      <c r="H8" s="572"/>
      <c r="N8" t="s">
        <v>1047</v>
      </c>
      <c r="P8" t="s">
        <v>734</v>
      </c>
      <c r="Q8" t="s">
        <v>349</v>
      </c>
      <c r="R8" t="s">
        <v>442</v>
      </c>
      <c r="S8" t="s">
        <v>724</v>
      </c>
      <c r="U8" t="s">
        <v>967</v>
      </c>
      <c r="V8" t="str">
        <f t="shared" si="0"/>
        <v/>
      </c>
      <c r="X8" s="363" t="e">
        <f>IF(VLOOKUP($A$6,'Komp.Misch.'!$A$78:$V$155,6,0)=0,"",VLOOKUP($A$6,'Komp.Misch.'!$A$78:$V$155,6,0))</f>
        <v>#N/A</v>
      </c>
      <c r="Y8" t="e">
        <f>IF(X8="","",VLOOKUP(X8,'Komp.Misch.'!$A$2:$C$70,3,0))</f>
        <v>#N/A</v>
      </c>
      <c r="Z8" t="e">
        <f t="shared" si="1"/>
        <v>#N/A</v>
      </c>
      <c r="AA8">
        <f t="shared" si="2"/>
        <v>0</v>
      </c>
      <c r="AB8" t="e">
        <f t="shared" si="3"/>
        <v>#N/A</v>
      </c>
    </row>
    <row r="9" spans="1:30" ht="48.75" customHeight="1" thickBot="1" x14ac:dyDescent="0.25">
      <c r="A9" s="359" t="s">
        <v>1085</v>
      </c>
      <c r="B9" s="360" t="s">
        <v>948</v>
      </c>
      <c r="C9" s="366" t="s">
        <v>1061</v>
      </c>
      <c r="D9" s="367" t="s">
        <v>1060</v>
      </c>
      <c r="E9" s="360" t="s">
        <v>1065</v>
      </c>
      <c r="F9" s="360" t="s">
        <v>1064</v>
      </c>
      <c r="G9" s="360" t="s">
        <v>1063</v>
      </c>
      <c r="H9" s="360" t="s">
        <v>1062</v>
      </c>
      <c r="P9" t="s">
        <v>45</v>
      </c>
      <c r="Q9" t="s">
        <v>507</v>
      </c>
      <c r="R9" t="s">
        <v>53</v>
      </c>
      <c r="S9" t="s">
        <v>725</v>
      </c>
      <c r="U9" t="s">
        <v>972</v>
      </c>
      <c r="V9" t="str">
        <f t="shared" si="0"/>
        <v/>
      </c>
      <c r="X9" s="363" t="e">
        <f>IF(VLOOKUP($A$6,'Komp.Misch.'!$A$78:$V$155,7,0)=0,"",VLOOKUP($A$6,'Komp.Misch.'!$A$78:$V$155,7,0))</f>
        <v>#N/A</v>
      </c>
      <c r="Y9" t="e">
        <f>IF(X9="","",VLOOKUP(X9,'Komp.Misch.'!$A$2:$C$70,3,0))</f>
        <v>#N/A</v>
      </c>
      <c r="Z9" t="e">
        <f t="shared" si="1"/>
        <v>#N/A</v>
      </c>
      <c r="AA9">
        <f t="shared" si="2"/>
        <v>0</v>
      </c>
      <c r="AB9" t="e">
        <f t="shared" si="3"/>
        <v>#N/A</v>
      </c>
    </row>
    <row r="10" spans="1:30" ht="24.95" customHeight="1" x14ac:dyDescent="0.2">
      <c r="A10" s="377"/>
      <c r="B10" s="378"/>
      <c r="C10" s="379" t="str">
        <f>IF(A10="","",VLOOKUP(A10,'Komp.Misch.'!$A$2:$B$56,2,0))</f>
        <v/>
      </c>
      <c r="D10" s="380">
        <f>IFERROR(IF($A$3="",B10,B10/$A$3),"")</f>
        <v>0</v>
      </c>
      <c r="E10" s="381" t="str">
        <f>IFERROR(IF($A$3="",B10/C10,B10/$A$3/C10),"")</f>
        <v/>
      </c>
      <c r="F10" s="407"/>
      <c r="G10" s="382" t="str">
        <f>IF(OR(F10=0,F10=""),"",B10*F10)</f>
        <v/>
      </c>
      <c r="H10" s="382" t="str">
        <f>IF(AND(F10&gt;0,OR($A$3="",$A$3=0)),ROUND(F10*B10,2),IF(AND($A$3&gt;0,F10&gt;0),G10/$A$3,""))</f>
        <v/>
      </c>
      <c r="P10" t="s">
        <v>46</v>
      </c>
      <c r="Q10" t="s">
        <v>350</v>
      </c>
      <c r="R10" t="s">
        <v>55</v>
      </c>
      <c r="S10" t="s">
        <v>726</v>
      </c>
      <c r="U10" t="s">
        <v>968</v>
      </c>
      <c r="V10" t="str">
        <f t="shared" si="0"/>
        <v/>
      </c>
      <c r="X10" s="363" t="e">
        <f>IF(VLOOKUP($A$6,'Komp.Misch.'!$A$78:$V$155,8,0)=0,"",VLOOKUP($A$6,'Komp.Misch.'!$A$78:$V$155,8,0))</f>
        <v>#N/A</v>
      </c>
      <c r="Y10" t="e">
        <f>IF(X10="","",VLOOKUP(X10,'Komp.Misch.'!$A$2:$C$70,3,0))</f>
        <v>#N/A</v>
      </c>
      <c r="Z10" t="e">
        <f t="shared" si="1"/>
        <v>#N/A</v>
      </c>
      <c r="AA10">
        <f t="shared" si="2"/>
        <v>0</v>
      </c>
      <c r="AB10" t="e">
        <f t="shared" si="3"/>
        <v>#N/A</v>
      </c>
    </row>
    <row r="11" spans="1:30" ht="24.95" customHeight="1" x14ac:dyDescent="0.2">
      <c r="A11" s="383"/>
      <c r="B11" s="384"/>
      <c r="C11" s="385" t="str">
        <f>IF(A11="","",VLOOKUP(A11,'Komp.Misch.'!$A$2:$B$56,2,0))</f>
        <v/>
      </c>
      <c r="D11" s="380">
        <f t="shared" ref="D11:D18" si="4">IFERROR(IF($A$3="",B11,B11/$A$3),"")</f>
        <v>0</v>
      </c>
      <c r="E11" s="381" t="str">
        <f t="shared" ref="E11:E18" si="5">IFERROR(IF($A$3="",B11/C11,B11/$A$3/C11),"")</f>
        <v/>
      </c>
      <c r="F11" s="408"/>
      <c r="G11" s="386" t="str">
        <f t="shared" ref="G11:G17" si="6">IF(OR(F11=0,F11=""),"",B11*F11)</f>
        <v/>
      </c>
      <c r="H11" s="386" t="str">
        <f t="shared" ref="H11:H18" si="7">IF(AND(F11&gt;0,OR($A$3="",$A$3=0)),ROUND(F11*B11,2),IF(AND($A$3&gt;0,F11&gt;0),G11/$A$3,""))</f>
        <v/>
      </c>
      <c r="P11" t="s">
        <v>432</v>
      </c>
      <c r="Q11" t="s">
        <v>508</v>
      </c>
      <c r="R11" t="s">
        <v>367</v>
      </c>
      <c r="S11" t="s">
        <v>727</v>
      </c>
      <c r="U11" t="s">
        <v>970</v>
      </c>
      <c r="V11" t="str">
        <f t="shared" si="0"/>
        <v/>
      </c>
      <c r="X11" s="363" t="e">
        <f>IF(VLOOKUP($A$6,'Komp.Misch.'!$A$78:$V$155,9,0)=0,"",VLOOKUP($A$6,'Komp.Misch.'!$A$78:$V$155,9,0))</f>
        <v>#N/A</v>
      </c>
      <c r="Y11" t="e">
        <f>IF(X11="","",VLOOKUP(X11,'Komp.Misch.'!$A$2:$C$70,3,0))</f>
        <v>#N/A</v>
      </c>
      <c r="Z11" t="e">
        <f t="shared" si="1"/>
        <v>#N/A</v>
      </c>
      <c r="AA11">
        <f t="shared" si="2"/>
        <v>0</v>
      </c>
      <c r="AB11" t="e">
        <f t="shared" si="3"/>
        <v>#N/A</v>
      </c>
    </row>
    <row r="12" spans="1:30" ht="24.95" customHeight="1" x14ac:dyDescent="0.2">
      <c r="A12" s="383"/>
      <c r="B12" s="384"/>
      <c r="C12" s="385" t="str">
        <f>IF(A12="","",VLOOKUP(A12,'Komp.Misch.'!$A$2:$B$56,2,0))</f>
        <v/>
      </c>
      <c r="D12" s="380">
        <f t="shared" si="4"/>
        <v>0</v>
      </c>
      <c r="E12" s="381" t="str">
        <f t="shared" si="5"/>
        <v/>
      </c>
      <c r="F12" s="408"/>
      <c r="G12" s="386" t="str">
        <f t="shared" si="6"/>
        <v/>
      </c>
      <c r="H12" s="386" t="str">
        <f t="shared" si="7"/>
        <v/>
      </c>
      <c r="P12" t="s">
        <v>935</v>
      </c>
      <c r="Q12" t="s">
        <v>712</v>
      </c>
      <c r="R12" t="s">
        <v>56</v>
      </c>
      <c r="S12" t="s">
        <v>424</v>
      </c>
      <c r="U12" t="s">
        <v>969</v>
      </c>
      <c r="V12" t="str">
        <f t="shared" si="0"/>
        <v/>
      </c>
      <c r="X12" s="363" t="e">
        <f>IF(VLOOKUP($A$6,'Komp.Misch.'!$A$78:$V$155,10,0)=0,"",VLOOKUP($A$6,'Komp.Misch.'!$A$78:$V$155,10,0))</f>
        <v>#N/A</v>
      </c>
      <c r="Y12" t="e">
        <f>IF(X12="","",VLOOKUP(X12,'Komp.Misch.'!$A$2:$C$70,3,0))</f>
        <v>#N/A</v>
      </c>
      <c r="Z12" t="e">
        <f t="shared" si="1"/>
        <v>#N/A</v>
      </c>
      <c r="AA12">
        <f t="shared" si="2"/>
        <v>0</v>
      </c>
      <c r="AB12" t="e">
        <f t="shared" si="3"/>
        <v>#N/A</v>
      </c>
    </row>
    <row r="13" spans="1:30" ht="24.95" customHeight="1" x14ac:dyDescent="0.2">
      <c r="A13" s="383"/>
      <c r="B13" s="384"/>
      <c r="C13" s="385" t="str">
        <f>IF(A13="","",VLOOKUP(A13,'Komp.Misch.'!$A$2:$B$56,2,0))</f>
        <v/>
      </c>
      <c r="D13" s="380">
        <f t="shared" si="4"/>
        <v>0</v>
      </c>
      <c r="E13" s="381" t="str">
        <f t="shared" si="5"/>
        <v/>
      </c>
      <c r="F13" s="408"/>
      <c r="G13" s="386" t="str">
        <f t="shared" si="6"/>
        <v/>
      </c>
      <c r="H13" s="386" t="str">
        <f t="shared" si="7"/>
        <v/>
      </c>
      <c r="P13" t="s">
        <v>739</v>
      </c>
      <c r="Q13" t="s">
        <v>512</v>
      </c>
      <c r="R13" t="s">
        <v>784</v>
      </c>
      <c r="S13" t="s">
        <v>729</v>
      </c>
      <c r="V13" t="str">
        <f t="shared" si="0"/>
        <v/>
      </c>
      <c r="X13" s="363" t="e">
        <f>IF(VLOOKUP($A$6,'Komp.Misch.'!$A$78:$V$155,11,0)=0,"",VLOOKUP($A$6,'Komp.Misch.'!$A$78:$V$155,11,0))</f>
        <v>#N/A</v>
      </c>
      <c r="Y13" t="e">
        <f>IF(X13="","",VLOOKUP(X13,'Komp.Misch.'!$A$2:$C$70,3,0))</f>
        <v>#N/A</v>
      </c>
      <c r="Z13" t="e">
        <f t="shared" si="1"/>
        <v>#N/A</v>
      </c>
      <c r="AA13">
        <f t="shared" si="2"/>
        <v>0</v>
      </c>
      <c r="AB13" t="e">
        <f t="shared" si="3"/>
        <v>#N/A</v>
      </c>
    </row>
    <row r="14" spans="1:30" ht="24.95" customHeight="1" thickBot="1" x14ac:dyDescent="0.25">
      <c r="A14" s="387"/>
      <c r="B14" s="388"/>
      <c r="C14" s="389" t="str">
        <f>IF(A14="","",VLOOKUP(A14,'Komp.Misch.'!$A$2:$B$56,2,0))</f>
        <v/>
      </c>
      <c r="D14" s="390">
        <f t="shared" si="4"/>
        <v>0</v>
      </c>
      <c r="E14" s="391" t="str">
        <f t="shared" si="5"/>
        <v/>
      </c>
      <c r="F14" s="409"/>
      <c r="G14" s="392" t="str">
        <f t="shared" si="6"/>
        <v/>
      </c>
      <c r="H14" s="392" t="str">
        <f t="shared" si="7"/>
        <v/>
      </c>
      <c r="P14" t="s">
        <v>81</v>
      </c>
      <c r="Q14" t="s">
        <v>509</v>
      </c>
      <c r="R14" t="s">
        <v>789</v>
      </c>
      <c r="S14" t="s">
        <v>425</v>
      </c>
      <c r="V14" t="str">
        <f t="shared" si="0"/>
        <v/>
      </c>
      <c r="X14" s="363" t="e">
        <f>IF(VLOOKUP($A$6,'Komp.Misch.'!$A$78:$V$155,12,0)=0,"",VLOOKUP($A$6,'Komp.Misch.'!$A$78:$V$155,12,0))</f>
        <v>#N/A</v>
      </c>
      <c r="Y14" t="e">
        <f>IF(X14="","",VLOOKUP(X14,'Komp.Misch.'!$A$2:$C$70,3,0))</f>
        <v>#N/A</v>
      </c>
      <c r="Z14" t="e">
        <f t="shared" si="1"/>
        <v>#N/A</v>
      </c>
      <c r="AA14">
        <f t="shared" si="2"/>
        <v>0</v>
      </c>
      <c r="AB14" t="e">
        <f t="shared" si="3"/>
        <v>#N/A</v>
      </c>
    </row>
    <row r="15" spans="1:30" ht="24.95" customHeight="1" x14ac:dyDescent="0.2">
      <c r="A15" s="394" t="s">
        <v>955</v>
      </c>
      <c r="B15" s="395"/>
      <c r="C15" s="396"/>
      <c r="D15" s="379">
        <f t="shared" si="4"/>
        <v>0</v>
      </c>
      <c r="E15" s="397" t="str">
        <f>IFERROR(IF($A$3="",B15/C15,B15/$A$3/C15),"")</f>
        <v/>
      </c>
      <c r="F15" s="410"/>
      <c r="G15" s="382" t="str">
        <f t="shared" si="6"/>
        <v/>
      </c>
      <c r="H15" s="382" t="str">
        <f t="shared" si="7"/>
        <v/>
      </c>
      <c r="P15" t="s">
        <v>936</v>
      </c>
      <c r="Q15" t="s">
        <v>714</v>
      </c>
      <c r="R15" t="s">
        <v>791</v>
      </c>
      <c r="V15" t="str">
        <f t="shared" si="0"/>
        <v/>
      </c>
      <c r="X15" s="363" t="e">
        <f>IF(VLOOKUP($A$6,'Komp.Misch.'!$A$78:$V$155,13,0)=0,"",VLOOKUP($A$6,'Komp.Misch.'!$A$78:$V$155,13,0))</f>
        <v>#N/A</v>
      </c>
      <c r="Y15" t="e">
        <f>IF(X15="","",VLOOKUP(X15,'Komp.Misch.'!$A$2:$C$70,3,0))</f>
        <v>#N/A</v>
      </c>
      <c r="Z15" t="e">
        <f t="shared" si="1"/>
        <v>#N/A</v>
      </c>
      <c r="AA15">
        <f t="shared" si="2"/>
        <v>0</v>
      </c>
      <c r="AB15" t="e">
        <f t="shared" si="3"/>
        <v>#N/A</v>
      </c>
    </row>
    <row r="16" spans="1:30" ht="24.95" customHeight="1" x14ac:dyDescent="0.2">
      <c r="A16" s="398" t="s">
        <v>956</v>
      </c>
      <c r="B16" s="399"/>
      <c r="C16" s="400"/>
      <c r="D16" s="401">
        <f t="shared" si="4"/>
        <v>0</v>
      </c>
      <c r="E16" s="381" t="str">
        <f t="shared" si="5"/>
        <v/>
      </c>
      <c r="F16" s="411"/>
      <c r="G16" s="386" t="str">
        <f t="shared" si="6"/>
        <v/>
      </c>
      <c r="H16" s="386" t="str">
        <f t="shared" si="7"/>
        <v/>
      </c>
      <c r="P16" t="s">
        <v>744</v>
      </c>
      <c r="Q16" t="s">
        <v>716</v>
      </c>
      <c r="R16" t="s">
        <v>793</v>
      </c>
      <c r="V16" t="str">
        <f t="shared" si="0"/>
        <v/>
      </c>
      <c r="X16" s="363" t="e">
        <f>IF(VLOOKUP($A$6,'Komp.Misch.'!$A$78:$V$155,14,0)=0,"",VLOOKUP($A$6,'Komp.Misch.'!$A$78:$V$155,14,0))</f>
        <v>#N/A</v>
      </c>
      <c r="Y16" t="e">
        <f>IF(X16="","",VLOOKUP(X16,'Komp.Misch.'!$A$2:$C$70,3,0))</f>
        <v>#N/A</v>
      </c>
      <c r="Z16" t="e">
        <f t="shared" si="1"/>
        <v>#N/A</v>
      </c>
      <c r="AA16">
        <f t="shared" si="2"/>
        <v>0</v>
      </c>
      <c r="AB16" t="e">
        <f t="shared" si="3"/>
        <v>#N/A</v>
      </c>
    </row>
    <row r="17" spans="1:28" ht="24.95" customHeight="1" x14ac:dyDescent="0.2">
      <c r="A17" s="398" t="s">
        <v>957</v>
      </c>
      <c r="B17" s="399"/>
      <c r="C17" s="400"/>
      <c r="D17" s="380">
        <f t="shared" si="4"/>
        <v>0</v>
      </c>
      <c r="E17" s="381" t="str">
        <f t="shared" si="5"/>
        <v/>
      </c>
      <c r="F17" s="411"/>
      <c r="G17" s="386" t="str">
        <f t="shared" si="6"/>
        <v/>
      </c>
      <c r="H17" s="386" t="str">
        <f t="shared" si="7"/>
        <v/>
      </c>
      <c r="P17" t="s">
        <v>879</v>
      </c>
      <c r="Q17" t="s">
        <v>929</v>
      </c>
      <c r="R17" t="s">
        <v>872</v>
      </c>
      <c r="V17" t="str">
        <f t="shared" si="0"/>
        <v/>
      </c>
      <c r="X17" s="363" t="e">
        <f>IF(VLOOKUP($A$6,'Komp.Misch.'!$A$78:$V$155,15,0)=0,"",VLOOKUP($A$6,'Komp.Misch.'!$A$78:$V$155,15,0))</f>
        <v>#N/A</v>
      </c>
      <c r="Y17" t="e">
        <f>IF(X17="","",VLOOKUP(X17,'Komp.Misch.'!$A$2:$C$70,3,0))</f>
        <v>#N/A</v>
      </c>
      <c r="Z17" t="e">
        <f t="shared" si="1"/>
        <v>#N/A</v>
      </c>
      <c r="AA17">
        <f t="shared" si="2"/>
        <v>0</v>
      </c>
      <c r="AB17" t="e">
        <f t="shared" si="3"/>
        <v>#N/A</v>
      </c>
    </row>
    <row r="18" spans="1:28" ht="24.95" customHeight="1" thickBot="1" x14ac:dyDescent="0.25">
      <c r="A18" s="402" t="s">
        <v>957</v>
      </c>
      <c r="B18" s="403"/>
      <c r="C18" s="404"/>
      <c r="D18" s="405">
        <f t="shared" si="4"/>
        <v>0</v>
      </c>
      <c r="E18" s="406" t="str">
        <f t="shared" si="5"/>
        <v/>
      </c>
      <c r="F18" s="412"/>
      <c r="G18" s="393" t="str">
        <f t="shared" ref="G18" si="8">IF(OR(F18=0,F18=""),"",B18*F18)</f>
        <v/>
      </c>
      <c r="H18" s="393" t="str">
        <f t="shared" si="7"/>
        <v/>
      </c>
      <c r="P18" t="s">
        <v>82</v>
      </c>
      <c r="Q18" t="s">
        <v>930</v>
      </c>
      <c r="R18" t="s">
        <v>873</v>
      </c>
      <c r="V18" t="str">
        <f t="shared" si="0"/>
        <v/>
      </c>
      <c r="X18" s="363" t="e">
        <f>IF(VLOOKUP($A$6,'Komp.Misch.'!$A$78:$V$155,16,0)=0,"",VLOOKUP($A$6,'Komp.Misch.'!$A$78:$V$155,16,0))</f>
        <v>#N/A</v>
      </c>
      <c r="Y18" t="e">
        <f>IF(X18="","",VLOOKUP(X18,'Komp.Misch.'!$A$2:$C$70,3,0))</f>
        <v>#N/A</v>
      </c>
      <c r="Z18" t="e">
        <f t="shared" si="1"/>
        <v>#N/A</v>
      </c>
      <c r="AA18">
        <f t="shared" si="2"/>
        <v>0</v>
      </c>
      <c r="AB18" t="e">
        <f t="shared" si="3"/>
        <v>#N/A</v>
      </c>
    </row>
    <row r="19" spans="1:28" x14ac:dyDescent="0.2">
      <c r="P19" t="s">
        <v>83</v>
      </c>
      <c r="Q19" t="s">
        <v>931</v>
      </c>
      <c r="V19" t="str">
        <f t="shared" si="0"/>
        <v/>
      </c>
      <c r="X19" s="363" t="e">
        <f>IF(VLOOKUP($A$6,'Komp.Misch.'!$A$78:$V$155,17,0)=0,"",VLOOKUP($A$6,'Komp.Misch.'!$A$78:$V$155,17,0))</f>
        <v>#N/A</v>
      </c>
      <c r="Y19" t="e">
        <f>IF(X19="","",VLOOKUP(X19,'Komp.Misch.'!$A$2:$C$70,3,0))</f>
        <v>#N/A</v>
      </c>
      <c r="Z19" t="e">
        <f t="shared" si="1"/>
        <v>#N/A</v>
      </c>
      <c r="AA19">
        <f t="shared" si="2"/>
        <v>0</v>
      </c>
      <c r="AB19" t="e">
        <f t="shared" si="3"/>
        <v>#N/A</v>
      </c>
    </row>
    <row r="20" spans="1:28" x14ac:dyDescent="0.2">
      <c r="P20" t="s">
        <v>84</v>
      </c>
      <c r="Q20" t="s">
        <v>932</v>
      </c>
      <c r="V20" t="str">
        <f t="shared" si="0"/>
        <v/>
      </c>
      <c r="X20" s="363" t="e">
        <f>IF(VLOOKUP($A$6,'Komp.Misch.'!$A$78:$V$155,18,0)=0,"",VLOOKUP($A$6,'Komp.Misch.'!$A$78:$V$155,18,0))</f>
        <v>#N/A</v>
      </c>
      <c r="Y20" t="e">
        <f>IF(X20="","",VLOOKUP(X20,'Komp.Misch.'!$A$2:$C$70,3,0))</f>
        <v>#N/A</v>
      </c>
      <c r="Z20" t="e">
        <f t="shared" si="1"/>
        <v>#N/A</v>
      </c>
      <c r="AA20">
        <f t="shared" si="2"/>
        <v>0</v>
      </c>
      <c r="AB20" t="e">
        <f t="shared" si="3"/>
        <v>#N/A</v>
      </c>
    </row>
    <row r="21" spans="1:28" x14ac:dyDescent="0.2">
      <c r="P21" t="s">
        <v>361</v>
      </c>
      <c r="V21" t="str">
        <f t="shared" si="0"/>
        <v/>
      </c>
      <c r="X21" s="363" t="e">
        <f>IF(VLOOKUP($A$6,'Komp.Misch.'!$A$78:$V$155,19,0)=0,"",VLOOKUP($A$6,'Komp.Misch.'!$A$78:$V$155,19,0))</f>
        <v>#N/A</v>
      </c>
      <c r="Y21" t="e">
        <f>IF(X21="","",VLOOKUP(X21,'Komp.Misch.'!$A$2:$C$70,3,0))</f>
        <v>#N/A</v>
      </c>
      <c r="Z21" t="e">
        <f t="shared" si="1"/>
        <v>#N/A</v>
      </c>
      <c r="AA21">
        <f t="shared" si="2"/>
        <v>0</v>
      </c>
      <c r="AB21" t="e">
        <f t="shared" si="3"/>
        <v>#N/A</v>
      </c>
    </row>
    <row r="22" spans="1:28" x14ac:dyDescent="0.2">
      <c r="P22" t="s">
        <v>85</v>
      </c>
      <c r="V22" t="str">
        <f t="shared" si="0"/>
        <v/>
      </c>
      <c r="X22" s="363" t="e">
        <f>IF(VLOOKUP($A$6,'Komp.Misch.'!$A$78:$V$155,20,0)=0,"",VLOOKUP($A$6,'Komp.Misch.'!$A$78:$V$155,20,0))</f>
        <v>#N/A</v>
      </c>
      <c r="Y22" t="e">
        <f>IF(X22="","",VLOOKUP(X22,'Komp.Misch.'!$A$2:$C$70,3,0))</f>
        <v>#N/A</v>
      </c>
      <c r="Z22" t="e">
        <f t="shared" si="1"/>
        <v>#N/A</v>
      </c>
      <c r="AA22">
        <f t="shared" si="2"/>
        <v>0</v>
      </c>
      <c r="AB22" t="e">
        <f t="shared" si="3"/>
        <v>#N/A</v>
      </c>
    </row>
    <row r="23" spans="1:28" x14ac:dyDescent="0.2">
      <c r="P23" t="s">
        <v>86</v>
      </c>
      <c r="V23" t="str">
        <f t="shared" si="0"/>
        <v/>
      </c>
      <c r="X23" s="363" t="e">
        <f>IF(VLOOKUP($A$6,'Komp.Misch.'!$A$78:$V$155,21,0)=0,"",VLOOKUP($A$6,'Komp.Misch.'!$A$78:$V$155,21,0))</f>
        <v>#N/A</v>
      </c>
      <c r="Y23" t="e">
        <f>IF(X23="","",VLOOKUP(X23,'Komp.Misch.'!$A$2:$C$70,3,0))</f>
        <v>#N/A</v>
      </c>
      <c r="Z23" t="e">
        <f t="shared" si="1"/>
        <v>#N/A</v>
      </c>
      <c r="AA23">
        <f t="shared" si="2"/>
        <v>0</v>
      </c>
      <c r="AB23" t="e">
        <f t="shared" si="3"/>
        <v>#N/A</v>
      </c>
    </row>
    <row r="24" spans="1:28" ht="15" thickBot="1" x14ac:dyDescent="0.25">
      <c r="P24" t="s">
        <v>435</v>
      </c>
      <c r="V24" t="str">
        <f t="shared" si="0"/>
        <v/>
      </c>
      <c r="X24" s="364" t="e">
        <f>IF(VLOOKUP($A$6,'Komp.Misch.'!$A$78:$V$155,22,0)=0,"",VLOOKUP($A$6,'Komp.Misch.'!$A$78:$V$155,22,0))</f>
        <v>#N/A</v>
      </c>
      <c r="Y24" t="e">
        <f>IF(X24="","",VLOOKUP(X24,'Komp.Misch.'!$A$2:$C$70,3,0))</f>
        <v>#N/A</v>
      </c>
      <c r="Z24" t="e">
        <f t="shared" si="1"/>
        <v>#N/A</v>
      </c>
      <c r="AA24">
        <f t="shared" si="2"/>
        <v>0</v>
      </c>
      <c r="AB24" t="e">
        <f t="shared" si="3"/>
        <v>#N/A</v>
      </c>
    </row>
    <row r="25" spans="1:28" x14ac:dyDescent="0.2">
      <c r="P25" t="s">
        <v>51</v>
      </c>
      <c r="V25" t="str">
        <f t="shared" si="0"/>
        <v/>
      </c>
    </row>
    <row r="26" spans="1:28" x14ac:dyDescent="0.2">
      <c r="P26" t="s">
        <v>57</v>
      </c>
      <c r="V26" t="str">
        <f t="shared" si="0"/>
        <v/>
      </c>
    </row>
    <row r="27" spans="1:28" x14ac:dyDescent="0.2">
      <c r="P27" t="s">
        <v>937</v>
      </c>
      <c r="V27" t="str">
        <f>IF($B$3="Agrana",T27,IF($B$3="DSV",Q27,IF($B$3="RWA (Die Saat)",P27,IF($B$3="Saatbau Linz",R27,IF($B$3="BWSB-Mischungen",U27,"")))))</f>
        <v/>
      </c>
    </row>
    <row r="32" spans="1:28" x14ac:dyDescent="0.2">
      <c r="U32" t="s">
        <v>968</v>
      </c>
      <c r="V32" t="str">
        <f t="shared" ref="V32:V40" si="9">IF($B$3="Agrana",T32,IF($B$3="DSV",Q9,IF($B$3="RWA",P9,IF($B$3="Saatbau Linz",R9,IF($B$3="BWSB-Mischungen",U32,"")))))</f>
        <v/>
      </c>
    </row>
    <row r="33" spans="21:22" x14ac:dyDescent="0.2">
      <c r="U33" t="s">
        <v>970</v>
      </c>
      <c r="V33" t="str">
        <f t="shared" si="9"/>
        <v/>
      </c>
    </row>
    <row r="34" spans="21:22" x14ac:dyDescent="0.2">
      <c r="U34" t="s">
        <v>969</v>
      </c>
      <c r="V34" t="str">
        <f t="shared" si="9"/>
        <v/>
      </c>
    </row>
    <row r="35" spans="21:22" x14ac:dyDescent="0.2">
      <c r="V35" t="str">
        <f t="shared" si="9"/>
        <v/>
      </c>
    </row>
    <row r="36" spans="21:22" x14ac:dyDescent="0.2">
      <c r="V36" t="str">
        <f t="shared" si="9"/>
        <v/>
      </c>
    </row>
    <row r="37" spans="21:22" x14ac:dyDescent="0.2">
      <c r="V37" t="str">
        <f t="shared" si="9"/>
        <v/>
      </c>
    </row>
    <row r="38" spans="21:22" x14ac:dyDescent="0.2">
      <c r="V38" t="str">
        <f t="shared" si="9"/>
        <v/>
      </c>
    </row>
    <row r="39" spans="21:22" x14ac:dyDescent="0.2">
      <c r="V39" t="str">
        <f t="shared" si="9"/>
        <v/>
      </c>
    </row>
    <row r="40" spans="21:22" x14ac:dyDescent="0.2">
      <c r="V40" t="str">
        <f t="shared" si="9"/>
        <v/>
      </c>
    </row>
    <row r="41" spans="21:22" x14ac:dyDescent="0.2">
      <c r="V41" t="str">
        <f>IF($B$3="Agrana",T41,IF($B$3="DSV",Q18,IF($B$3="RWA",P18,IF($B$3="Saatbau Linz",R41,IF($B$3="BWSB-Mischungen",U41,"")))))</f>
        <v/>
      </c>
    </row>
    <row r="42" spans="21:22" x14ac:dyDescent="0.2">
      <c r="V42" t="str">
        <f>IF($B$3="Agrana",T42,IF($B$3="DSV",Q19,IF($B$3="RWA",P19,IF($B$3="Saatbau Linz",R42,IF($B$3="BWSB-Mischungen",U42,"")))))</f>
        <v/>
      </c>
    </row>
    <row r="43" spans="21:22" x14ac:dyDescent="0.2">
      <c r="V43" t="str">
        <f t="shared" ref="V43:V49" si="10">IF($B$3="Agrana",T43,IF($B$3="DSV",Q43,IF($B$3="RWA",P20,IF($B$3="Saatbau Linz",R43,IF($B$3="BWSB-Mischungen",U43,"")))))</f>
        <v/>
      </c>
    </row>
    <row r="44" spans="21:22" x14ac:dyDescent="0.2">
      <c r="V44" t="str">
        <f t="shared" si="10"/>
        <v/>
      </c>
    </row>
    <row r="45" spans="21:22" x14ac:dyDescent="0.2">
      <c r="V45" t="str">
        <f t="shared" si="10"/>
        <v/>
      </c>
    </row>
    <row r="46" spans="21:22" x14ac:dyDescent="0.2">
      <c r="V46" t="str">
        <f t="shared" si="10"/>
        <v/>
      </c>
    </row>
    <row r="47" spans="21:22" x14ac:dyDescent="0.2">
      <c r="V47" t="str">
        <f t="shared" si="10"/>
        <v/>
      </c>
    </row>
    <row r="48" spans="21:22" x14ac:dyDescent="0.2">
      <c r="V48" t="str">
        <f t="shared" si="10"/>
        <v/>
      </c>
    </row>
    <row r="49" spans="22:22" x14ac:dyDescent="0.2">
      <c r="V49" t="str">
        <f t="shared" si="10"/>
        <v/>
      </c>
    </row>
  </sheetData>
  <sheetProtection algorithmName="SHA-512" hashValue="HfiRSllgFhAV/W9Dm+p011a/H0mKiLPiWsp2PiCR4zOaZkuMgppNLU4D26d/rLybGSIMUGlk8zif3PyPOo8Lew==" saltValue="7QHptoyX4xiuvweWNoHsZg==" spinCount="100000" sheet="1" objects="1" scenarios="1"/>
  <mergeCells count="7">
    <mergeCell ref="A7:H7"/>
    <mergeCell ref="A8:H8"/>
    <mergeCell ref="A1:H1"/>
    <mergeCell ref="C2:D2"/>
    <mergeCell ref="C3:D3"/>
    <mergeCell ref="E3:F3"/>
    <mergeCell ref="E2:F2"/>
  </mergeCells>
  <conditionalFormatting sqref="A3">
    <cfRule type="expression" dxfId="36" priority="14">
      <formula>$A$3=""</formula>
    </cfRule>
  </conditionalFormatting>
  <conditionalFormatting sqref="A6">
    <cfRule type="expression" dxfId="35" priority="12">
      <formula>AND($B$3&lt;&gt;"",$A$6="")</formula>
    </cfRule>
  </conditionalFormatting>
  <conditionalFormatting sqref="B3">
    <cfRule type="expression" dxfId="34" priority="13">
      <formula>AND($A$3&lt;&gt;"",$B$3="")</formula>
    </cfRule>
  </conditionalFormatting>
  <conditionalFormatting sqref="B6">
    <cfRule type="expression" dxfId="33" priority="11">
      <formula>AND($A$6&lt;&gt;"",OR($B$6="",$B$6=0))</formula>
    </cfRule>
  </conditionalFormatting>
  <conditionalFormatting sqref="C2:D2">
    <cfRule type="expression" dxfId="32" priority="5">
      <formula>SUM($C$6,$D$10,$D$11,$D$12,$D$13,$D$14,$D$15,$D$16,$D$17,$D$18)&gt;0</formula>
    </cfRule>
  </conditionalFormatting>
  <conditionalFormatting sqref="C3:D3">
    <cfRule type="expression" dxfId="31" priority="4">
      <formula>SUM($B$6,$B$10,$B$11,$B$12,$B$13,$B$14,$B$15,$B$16,$B$17,$B$18)</formula>
    </cfRule>
  </conditionalFormatting>
  <conditionalFormatting sqref="E2:E3">
    <cfRule type="expression" dxfId="30" priority="60">
      <formula>OR(AND($E$3&gt;0,$E$3&lt;0.8),$E$3="")</formula>
    </cfRule>
    <cfRule type="expression" dxfId="29" priority="61">
      <formula>$E$3&gt;=1</formula>
    </cfRule>
    <cfRule type="expression" dxfId="28" priority="62">
      <formula>AND($E$3&gt;=0.9,$E$3&lt;1)</formula>
    </cfRule>
    <cfRule type="expression" dxfId="27" priority="63">
      <formula>AND($E$3&gt;0.8,$E$3&lt;0.9)</formula>
    </cfRule>
  </conditionalFormatting>
  <conditionalFormatting sqref="E6">
    <cfRule type="expression" dxfId="26" priority="1">
      <formula>$E$6&lt;&gt;""</formula>
    </cfRule>
  </conditionalFormatting>
  <conditionalFormatting sqref="E10:E18">
    <cfRule type="expression" dxfId="25" priority="10">
      <formula>AND(B10&gt;0,C10&lt;&gt;"")</formula>
    </cfRule>
  </conditionalFormatting>
  <conditionalFormatting sqref="G2">
    <cfRule type="expression" dxfId="24" priority="7">
      <formula>$G$3&gt;0</formula>
    </cfRule>
  </conditionalFormatting>
  <conditionalFormatting sqref="G3">
    <cfRule type="expression" dxfId="23" priority="9">
      <formula>$G$3&gt;0</formula>
    </cfRule>
  </conditionalFormatting>
  <conditionalFormatting sqref="G10:G18">
    <cfRule type="expression" dxfId="22" priority="3">
      <formula>AND(F10&gt;0,B10&gt;0)</formula>
    </cfRule>
  </conditionalFormatting>
  <conditionalFormatting sqref="H2">
    <cfRule type="expression" dxfId="21" priority="6">
      <formula>$H$3&gt;0</formula>
    </cfRule>
  </conditionalFormatting>
  <conditionalFormatting sqref="H3">
    <cfRule type="expression" dxfId="20" priority="8">
      <formula>$H$3&gt;0</formula>
    </cfRule>
  </conditionalFormatting>
  <conditionalFormatting sqref="H10:H18">
    <cfRule type="expression" dxfId="19" priority="2">
      <formula>AND(F10&gt;0,B10&gt;0)</formula>
    </cfRule>
  </conditionalFormatting>
  <dataValidations count="6">
    <dataValidation type="list" allowBlank="1" showInputMessage="1" showErrorMessage="1" sqref="A6" xr:uid="{AA57C492-9224-41ED-99D4-7C5D08731DA3}">
      <formula1>$V$3:$V$49</formula1>
    </dataValidation>
    <dataValidation type="list" allowBlank="1" showInputMessage="1" showErrorMessage="1" sqref="B3" xr:uid="{28DC89E0-1FF9-4A71-9414-DDD78E0F21ED}">
      <formula1>$N$2:$N$8</formula1>
    </dataValidation>
    <dataValidation type="decimal" allowBlank="1" showInputMessage="1" showErrorMessage="1" errorTitle="Nur Zahlen &gt;0 möglich" error="Es können nur Zahlen &gt;0 eigegeben werden" sqref="A3" xr:uid="{9EA88252-1FB6-42C9-8E59-59983DEB85FE}">
      <formula1>0.0001</formula1>
      <formula2>10000000</formula2>
    </dataValidation>
    <dataValidation type="decimal" allowBlank="1" showInputMessage="1" showErrorMessage="1" sqref="B6" xr:uid="{B818A57F-1963-4C98-9BA1-D93E6A06DEC6}">
      <formula1>0.01</formula1>
      <formula2>1000000</formula2>
    </dataValidation>
    <dataValidation type="decimal" allowBlank="1" showInputMessage="1" showErrorMessage="1" errorTitle="Zahl muss &gt;0 sein" error="Es können nur Zahlen &gt;0 eigegeben werden" sqref="B10:B18 F10:F18" xr:uid="{7F679792-89C6-4AF9-9205-B67B6F10DE2D}">
      <formula1>0.01</formula1>
      <formula2>1000000</formula2>
    </dataValidation>
    <dataValidation type="decimal" allowBlank="1" showInputMessage="1" showErrorMessage="1" errorTitle="Zahl muss &gt; 0 sein" error="Es können nur Zahlen &gt;0 eigegeben werden" sqref="C15:C18" xr:uid="{DB4B28FF-C2AB-4785-9DF8-53567AEAAD75}">
      <formula1>0.01</formula1>
      <formula2>1000000</formula2>
    </dataValidation>
  </dataValidations>
  <pageMargins left="0.7" right="0.7" top="0.78740157499999996" bottom="0.78740157499999996" header="0.3" footer="0.3"/>
  <pageSetup paperSize="9" scale="57"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138A3AD-3D3F-411E-8E23-921B734337D7}">
          <x14:formula1>
            <xm:f>'Komp.Misch.'!$A$1:$A$56</xm:f>
          </x14:formula1>
          <xm:sqref>A10:A14</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8</vt:i4>
      </vt:variant>
    </vt:vector>
  </HeadingPairs>
  <TitlesOfParts>
    <vt:vector size="22" baseType="lpstr">
      <vt:lpstr>Anleitung</vt:lpstr>
      <vt:lpstr>Tabelle1</vt:lpstr>
      <vt:lpstr>Mischungen</vt:lpstr>
      <vt:lpstr>Inverttabelle (2)</vt:lpstr>
      <vt:lpstr>Komp.Misch.</vt:lpstr>
      <vt:lpstr>Begr.-Rechner int. Prod.</vt:lpstr>
      <vt:lpstr>Zusammenfassung int. Prod.</vt:lpstr>
      <vt:lpstr>Konventionell (2)</vt:lpstr>
      <vt:lpstr>Mischungen verfeinern</vt:lpstr>
      <vt:lpstr>Begr.-Rechner BIO</vt:lpstr>
      <vt:lpstr>BIO (2)</vt:lpstr>
      <vt:lpstr>Zusammenfassung BIO</vt:lpstr>
      <vt:lpstr>Begrünungsliste 2025</vt:lpstr>
      <vt:lpstr>Anbauzeitpunkte</vt:lpstr>
      <vt:lpstr>Anbauzeitpunkte!Druckbereich</vt:lpstr>
      <vt:lpstr>'Begr.-Rechner int. Prod.'!Druckbereich</vt:lpstr>
      <vt:lpstr>'Konventionell (2)'!Druckbereich</vt:lpstr>
      <vt:lpstr>'Mischungen verfeinern'!Druckbereich</vt:lpstr>
      <vt:lpstr>'Zusammenfassung BIO'!Druckbereich</vt:lpstr>
      <vt:lpstr>'Zusammenfassung int. Prod.'!Druckbereich</vt:lpstr>
      <vt:lpstr>'Konventionell (2)'!Einzelkulturen</vt:lpstr>
      <vt:lpstr>Einzelkulturen</vt:lpstr>
    </vt:vector>
  </TitlesOfParts>
  <Company>Landwirtschaftskammer OÖ</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Kriegner-Schramml Simon</dc:creator>
  <cp:lastModifiedBy>Kriegner-Schramml Simon</cp:lastModifiedBy>
  <cp:lastPrinted>2025-07-14T12:41:47Z</cp:lastPrinted>
  <dcterms:created xsi:type="dcterms:W3CDTF">2020-06-12T08:42:07Z</dcterms:created>
  <dcterms:modified xsi:type="dcterms:W3CDTF">2025-07-17T06:51:38Z</dcterms:modified>
</cp:coreProperties>
</file>